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08" windowWidth="6468" windowHeight="4404"/>
  </bookViews>
  <sheets>
    <sheet name="CumulativeValue" sheetId="1" r:id="rId1"/>
    <sheet name="BreakevenAnalysis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2" i="2" l="1"/>
  <c r="B11" i="2"/>
  <c r="K12" i="2"/>
  <c r="J12" i="2" s="1"/>
  <c r="I12" i="2" s="1"/>
  <c r="H12" i="2" s="1"/>
  <c r="G12" i="2" s="1"/>
  <c r="F12" i="2" s="1"/>
  <c r="E12" i="2" s="1"/>
  <c r="D12" i="2" s="1"/>
  <c r="C12" i="2" s="1"/>
  <c r="J11" i="2"/>
  <c r="I11" i="2" s="1"/>
  <c r="H11" i="2" s="1"/>
  <c r="G11" i="2" s="1"/>
  <c r="F11" i="2" s="1"/>
  <c r="E11" i="2" s="1"/>
  <c r="D11" i="2" s="1"/>
  <c r="C11" i="2" l="1"/>
  <c r="M11" i="2"/>
  <c r="N11" i="2"/>
  <c r="O11" i="2" s="1"/>
  <c r="P11" i="2" s="1"/>
  <c r="Q11" i="2" s="1"/>
  <c r="R11" i="2" s="1"/>
  <c r="S11" i="2" s="1"/>
  <c r="T11" i="2" s="1"/>
  <c r="U11" i="2" s="1"/>
  <c r="V11" i="2" s="1"/>
  <c r="W11" i="2" s="1"/>
  <c r="X11" i="2" s="1"/>
  <c r="Y11" i="2" s="1"/>
  <c r="Z11" i="2" s="1"/>
  <c r="AA11" i="2" s="1"/>
  <c r="AB11" i="2" s="1"/>
  <c r="AC11" i="2" s="1"/>
  <c r="AD11" i="2" s="1"/>
  <c r="AE11" i="2" s="1"/>
  <c r="AF11" i="2" s="1"/>
  <c r="AG11" i="2" s="1"/>
  <c r="AH11" i="2" s="1"/>
  <c r="AI11" i="2" s="1"/>
  <c r="AJ11" i="2" s="1"/>
  <c r="AK11" i="2" s="1"/>
  <c r="AL11" i="2" s="1"/>
  <c r="AM11" i="2" s="1"/>
  <c r="AN11" i="2" s="1"/>
  <c r="AO11" i="2" s="1"/>
  <c r="AP11" i="2" s="1"/>
  <c r="AQ11" i="2" s="1"/>
  <c r="AR11" i="2" s="1"/>
  <c r="AS11" i="2" s="1"/>
  <c r="AT11" i="2" s="1"/>
  <c r="AU11" i="2" s="1"/>
  <c r="AV11" i="2" s="1"/>
  <c r="M12" i="2"/>
  <c r="N12" i="2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s="1"/>
  <c r="AF12" i="2" s="1"/>
  <c r="AG12" i="2" s="1"/>
  <c r="AH12" i="2" s="1"/>
  <c r="AI12" i="2" s="1"/>
  <c r="AJ12" i="2" s="1"/>
  <c r="AK12" i="2" s="1"/>
  <c r="AL12" i="2" s="1"/>
  <c r="AM12" i="2" s="1"/>
  <c r="AN12" i="2" s="1"/>
  <c r="A9" i="1"/>
  <c r="F15" i="1"/>
  <c r="L15" i="1"/>
  <c r="M16" i="1"/>
  <c r="D18" i="1"/>
  <c r="E18" i="1" s="1"/>
  <c r="F18" i="1" s="1"/>
  <c r="C19" i="1"/>
  <c r="D19" i="1" s="1"/>
  <c r="P19" i="1"/>
  <c r="D36" i="1"/>
  <c r="D37" i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33" i="1"/>
  <c r="H25" i="1"/>
  <c r="B33" i="1" s="1"/>
  <c r="L14" i="2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AL14" i="2" s="1"/>
  <c r="AM14" i="2" s="1"/>
  <c r="AN14" i="2" s="1"/>
  <c r="D33" i="1"/>
  <c r="A37" i="1" s="1"/>
  <c r="E24" i="1" l="1"/>
  <c r="F24" i="1" s="1"/>
  <c r="G24" i="1" s="1"/>
  <c r="K24" i="1" s="1"/>
  <c r="E22" i="1"/>
  <c r="F22" i="1" s="1"/>
  <c r="G22" i="1" s="1"/>
  <c r="K22" i="1" s="1"/>
  <c r="E20" i="1"/>
  <c r="F20" i="1" s="1"/>
  <c r="G20" i="1" s="1"/>
  <c r="K20" i="1" s="1"/>
  <c r="E25" i="1"/>
  <c r="F25" i="1" s="1"/>
  <c r="G25" i="1" s="1"/>
  <c r="K25" i="1" s="1"/>
  <c r="E23" i="1"/>
  <c r="F23" i="1" s="1"/>
  <c r="G23" i="1" s="1"/>
  <c r="K23" i="1" s="1"/>
  <c r="E21" i="1"/>
  <c r="F21" i="1" s="1"/>
  <c r="G21" i="1" s="1"/>
  <c r="K21" i="1" s="1"/>
  <c r="G18" i="1"/>
  <c r="K18" i="1" s="1"/>
  <c r="E19" i="1"/>
  <c r="F19" i="1" s="1"/>
  <c r="F27" i="1" s="1"/>
  <c r="D28" i="1" s="1"/>
  <c r="D27" i="1"/>
  <c r="G19" i="1" l="1"/>
  <c r="K19" i="1" s="1"/>
  <c r="L18" i="1"/>
  <c r="M18" i="1" s="1"/>
  <c r="N18" i="1" s="1"/>
  <c r="K26" i="1"/>
  <c r="D13" i="2" l="1"/>
  <c r="J19" i="1"/>
  <c r="L19" i="1" s="1"/>
  <c r="D15" i="2"/>
  <c r="M19" i="1"/>
  <c r="N19" i="1"/>
  <c r="E15" i="2" l="1"/>
  <c r="E13" i="2"/>
  <c r="J20" i="1"/>
  <c r="L20" i="1" l="1"/>
  <c r="M20" i="1" l="1"/>
  <c r="N20" i="1" l="1"/>
  <c r="F13" i="2" l="1"/>
  <c r="F15" i="2"/>
  <c r="J21" i="1"/>
  <c r="L21" i="1" l="1"/>
  <c r="M21" i="1" l="1"/>
  <c r="N21" i="1" s="1"/>
  <c r="G15" i="2" l="1"/>
  <c r="G13" i="2"/>
  <c r="J22" i="1"/>
  <c r="L22" i="1" l="1"/>
  <c r="M22" i="1" l="1"/>
  <c r="N22" i="1" s="1"/>
  <c r="H13" i="2" l="1"/>
  <c r="H15" i="2"/>
  <c r="J23" i="1"/>
  <c r="L23" i="1" l="1"/>
  <c r="M23" i="1" l="1"/>
  <c r="N23" i="1" s="1"/>
  <c r="I15" i="2" l="1"/>
  <c r="I13" i="2"/>
  <c r="J24" i="1"/>
  <c r="L24" i="1" l="1"/>
  <c r="M24" i="1" s="1"/>
  <c r="N24" i="1" l="1"/>
  <c r="J13" i="2" l="1"/>
  <c r="J15" i="2"/>
  <c r="J25" i="1"/>
  <c r="L25" i="1" l="1"/>
  <c r="M25" i="1" l="1"/>
  <c r="M27" i="1" s="1"/>
  <c r="L27" i="1"/>
  <c r="L28" i="1" l="1"/>
  <c r="L29" i="1" s="1"/>
  <c r="D29" i="1" s="1"/>
  <c r="D30" i="1" s="1"/>
  <c r="N25" i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X13" i="2" s="1"/>
  <c r="Y13" i="2" s="1"/>
  <c r="Z13" i="2" s="1"/>
  <c r="AA13" i="2" s="1"/>
  <c r="AB13" i="2" s="1"/>
  <c r="AC13" i="2" s="1"/>
  <c r="AD13" i="2" s="1"/>
  <c r="AE13" i="2" s="1"/>
  <c r="AF13" i="2" s="1"/>
  <c r="AG13" i="2" s="1"/>
  <c r="AH13" i="2" s="1"/>
  <c r="AI13" i="2" s="1"/>
  <c r="AJ13" i="2" s="1"/>
  <c r="AK13" i="2" s="1"/>
  <c r="AL13" i="2" s="1"/>
  <c r="AM13" i="2" s="1"/>
  <c r="AN13" i="2" s="1"/>
  <c r="K15" i="2" l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AA15" i="2" s="1"/>
  <c r="AB15" i="2" s="1"/>
  <c r="AC15" i="2" s="1"/>
  <c r="AD15" i="2" s="1"/>
  <c r="AE15" i="2" s="1"/>
  <c r="AF15" i="2" s="1"/>
  <c r="AG15" i="2" s="1"/>
  <c r="AH15" i="2" s="1"/>
  <c r="AI15" i="2" s="1"/>
  <c r="AJ15" i="2" s="1"/>
  <c r="AK15" i="2" s="1"/>
  <c r="AL15" i="2" s="1"/>
  <c r="AM15" i="2" s="1"/>
  <c r="AN15" i="2" s="1"/>
  <c r="D40" i="1"/>
  <c r="D39" i="1"/>
</calcChain>
</file>

<file path=xl/sharedStrings.xml><?xml version="1.0" encoding="utf-8"?>
<sst xmlns="http://schemas.openxmlformats.org/spreadsheetml/2006/main" count="66" uniqueCount="55">
  <si>
    <t>@ age 62</t>
  </si>
  <si>
    <t>Monthly</t>
  </si>
  <si>
    <t>Benefit</t>
  </si>
  <si>
    <t>Annual</t>
  </si>
  <si>
    <t>@ age 70</t>
  </si>
  <si>
    <t>(col C x 12)</t>
  </si>
  <si>
    <t>Deposit</t>
  </si>
  <si>
    <t>tax @ 25%</t>
  </si>
  <si>
    <t>after tax</t>
  </si>
  <si>
    <t>Total Interest earned</t>
  </si>
  <si>
    <t>Effect of early or delayed retirement on retirement benefits</t>
  </si>
  <si>
    <t>Early or delayed retirement</t>
  </si>
  <si>
    <t>Dec 31 Bal</t>
  </si>
  <si>
    <t>Jan 01 Bal</t>
  </si>
  <si>
    <t>Primary Wage Earner -----------------------------------------------</t>
  </si>
  <si>
    <t>Taxes on</t>
  </si>
  <si>
    <t>Earnings @</t>
  </si>
  <si>
    <t>Retire Early Home Page</t>
  </si>
  <si>
    <t>per annum</t>
  </si>
  <si>
    <t>Save &amp; Invest SS benefit -----------------------------------------------------------------</t>
  </si>
  <si>
    <t>tax rate</t>
  </si>
  <si>
    <t>subject to tax</t>
  </si>
  <si>
    <t>SS benefit</t>
  </si>
  <si>
    <t>Amount of</t>
  </si>
  <si>
    <t>Tax paid at</t>
  </si>
  <si>
    <t>After-tax</t>
  </si>
  <si>
    <t>Amount</t>
  </si>
  <si>
    <t>Invested</t>
  </si>
  <si>
    <t>Year</t>
  </si>
  <si>
    <t>COLA</t>
  </si>
  <si>
    <t>life annuity at age 70 with a</t>
  </si>
  <si>
    <t>monthly benefit.</t>
  </si>
  <si>
    <t>Go to www.Vanguard.com to get inflation-adjusted annuity prices</t>
  </si>
  <si>
    <t>Revised: 02/14/2011</t>
  </si>
  <si>
    <t>Value of Cumulative Social Security Benefits at Age 70</t>
  </si>
  <si>
    <t>Total SS benefit collected</t>
  </si>
  <si>
    <t>Federal Taxes Paid</t>
  </si>
  <si>
    <t>After-tax Interest Earned</t>
  </si>
  <si>
    <t>Net Value of SS benefit</t>
  </si>
  <si>
    <t>Cost of a Principal Life inflation-adjusted</t>
  </si>
  <si>
    <t>Net increase in  monthly SS benefit</t>
  </si>
  <si>
    <t>Savings -- Soc. Sec. vs. Annuity</t>
  </si>
  <si>
    <t>Social Security Break-even Analysis</t>
  </si>
  <si>
    <t>Take benefit at age 62, buy annuity at 70</t>
  </si>
  <si>
    <t>Take benefit at age 70</t>
  </si>
  <si>
    <t>Take benefit at age 62</t>
  </si>
  <si>
    <t>Year End</t>
  </si>
  <si>
    <t>Marginal Tax Rate</t>
  </si>
  <si>
    <t>Nominal Invesment Return</t>
  </si>
  <si>
    <t>Cost of Inflation-adjusted Life Annuity at age 70</t>
  </si>
  <si>
    <t>Retire age</t>
  </si>
  <si>
    <t>2011 Social Security COLA</t>
  </si>
  <si>
    <t>All Values in 2011 Dollars</t>
  </si>
  <si>
    <t>for Male</t>
  </si>
  <si>
    <t>for 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</si>
</sst>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i/>
      <sz val="8"/>
      <name val="Arial"/>
      <family val="2"/>
    </font>
    <font>
      <b/>
      <sz val="10"/>
      <color indexed="8"/>
      <name val="Arial"/>
      <family val="2"/>
    </font>
    <font>
      <b/>
      <i/>
      <sz val="14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medium">
        <color indexed="22"/>
      </left>
      <right/>
      <top/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quotePrefix="1" applyAlignment="1">
      <alignment horizontal="left"/>
    </xf>
    <xf numFmtId="0" fontId="3" fillId="0" borderId="0" xfId="0" quotePrefix="1" applyFont="1" applyAlignment="1">
      <alignment horizontal="left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164" fontId="0" fillId="0" borderId="0" xfId="1" applyNumberFormat="1" applyFont="1"/>
    <xf numFmtId="164" fontId="0" fillId="2" borderId="3" xfId="1" applyNumberFormat="1" applyFont="1" applyFill="1" applyBorder="1" applyAlignment="1">
      <alignment horizontal="right" wrapText="1"/>
    </xf>
    <xf numFmtId="164" fontId="0" fillId="0" borderId="0" xfId="0" applyNumberForma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0" fontId="0" fillId="2" borderId="0" xfId="3" applyNumberFormat="1" applyFont="1" applyFill="1" applyBorder="1" applyAlignment="1">
      <alignment horizontal="center" wrapText="1"/>
    </xf>
    <xf numFmtId="41" fontId="0" fillId="0" borderId="0" xfId="0" applyNumberFormat="1"/>
    <xf numFmtId="164" fontId="0" fillId="0" borderId="0" xfId="1" applyNumberFormat="1" applyFont="1" applyBorder="1" applyAlignment="1">
      <alignment horizontal="right" wrapText="1"/>
    </xf>
    <xf numFmtId="165" fontId="0" fillId="0" borderId="0" xfId="0" applyNumberFormat="1"/>
    <xf numFmtId="165" fontId="0" fillId="0" borderId="4" xfId="0" applyNumberFormat="1" applyBorder="1"/>
    <xf numFmtId="0" fontId="5" fillId="0" borderId="0" xfId="0" applyFont="1" applyAlignment="1">
      <alignment horizontal="left"/>
    </xf>
    <xf numFmtId="0" fontId="4" fillId="0" borderId="0" xfId="2" applyAlignment="1" applyProtection="1">
      <alignment horizontal="left"/>
    </xf>
    <xf numFmtId="0" fontId="2" fillId="0" borderId="0" xfId="0" applyFont="1"/>
    <xf numFmtId="164" fontId="2" fillId="0" borderId="0" xfId="0" applyNumberFormat="1" applyFont="1"/>
    <xf numFmtId="0" fontId="6" fillId="0" borderId="0" xfId="2" applyFont="1" applyAlignment="1" applyProtection="1">
      <alignment horizontal="left"/>
    </xf>
    <xf numFmtId="165" fontId="0" fillId="0" borderId="0" xfId="0" applyNumberFormat="1" applyBorder="1"/>
    <xf numFmtId="0" fontId="7" fillId="0" borderId="0" xfId="0" applyFont="1"/>
    <xf numFmtId="164" fontId="8" fillId="0" borderId="3" xfId="1" applyNumberFormat="1" applyFont="1" applyBorder="1" applyAlignment="1">
      <alignment horizontal="right" wrapText="1"/>
    </xf>
    <xf numFmtId="0" fontId="2" fillId="0" borderId="0" xfId="0" applyFont="1" applyAlignment="1">
      <alignment horizontal="left"/>
    </xf>
    <xf numFmtId="10" fontId="8" fillId="0" borderId="0" xfId="0" applyNumberFormat="1" applyFont="1" applyAlignment="1">
      <alignment horizontal="center"/>
    </xf>
    <xf numFmtId="10" fontId="0" fillId="0" borderId="0" xfId="0" quotePrefix="1" applyNumberFormat="1" applyAlignment="1">
      <alignment horizontal="right"/>
    </xf>
    <xf numFmtId="10" fontId="6" fillId="0" borderId="0" xfId="0" applyNumberFormat="1" applyFont="1" applyAlignment="1">
      <alignment horizontal="center"/>
    </xf>
    <xf numFmtId="164" fontId="8" fillId="0" borderId="0" xfId="0" applyNumberFormat="1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2" applyFont="1" applyAlignment="1" applyProtection="1">
      <alignment horizontal="left"/>
    </xf>
    <xf numFmtId="165" fontId="0" fillId="0" borderId="0" xfId="0" quotePrefix="1" applyNumberFormat="1" applyAlignment="1">
      <alignment horizontal="righ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10" fontId="8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93747852048"/>
          <c:y val="0.14150992285359917"/>
          <c:w val="0.46895527728870867"/>
          <c:h val="0.72170060655335577"/>
        </c:manualLayout>
      </c:layout>
      <c:lineChart>
        <c:grouping val="standard"/>
        <c:varyColors val="0"/>
        <c:ser>
          <c:idx val="0"/>
          <c:order val="0"/>
          <c:tx>
            <c:strRef>
              <c:f>BreakevenAnalysis!$A$13</c:f>
              <c:strCache>
                <c:ptCount val="1"/>
                <c:pt idx="0">
                  <c:v>Take benefit at age 62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"/>
              <c:pt idx="0">
                <c:v>c12:c50</c:v>
              </c:pt>
            </c:strLit>
          </c:cat>
          <c:val>
            <c:numRef>
              <c:f>BreakevenAnalysis!$K$13:$AN$13</c:f>
              <c:numCache>
                <c:formatCode>_("$"* #,##0_);_("$"* \(#,##0\);_("$"* "-"??_);_(@_)</c:formatCode>
                <c:ptCount val="30"/>
                <c:pt idx="0">
                  <c:v>126042.92900715402</c:v>
                </c:pt>
                <c:pt idx="1">
                  <c:v>146721.68844131561</c:v>
                </c:pt>
                <c:pt idx="2">
                  <c:v>167400.4478754772</c:v>
                </c:pt>
                <c:pt idx="3">
                  <c:v>188079.20730963879</c:v>
                </c:pt>
                <c:pt idx="4">
                  <c:v>208757.96674380038</c:v>
                </c:pt>
                <c:pt idx="5">
                  <c:v>229436.72617796197</c:v>
                </c:pt>
                <c:pt idx="6">
                  <c:v>250115.48561212356</c:v>
                </c:pt>
                <c:pt idx="7">
                  <c:v>270794.24504628516</c:v>
                </c:pt>
                <c:pt idx="8">
                  <c:v>291473.00448044675</c:v>
                </c:pt>
                <c:pt idx="9">
                  <c:v>312151.76391460834</c:v>
                </c:pt>
                <c:pt idx="10">
                  <c:v>332830.52334876993</c:v>
                </c:pt>
                <c:pt idx="11">
                  <c:v>353509.28278293152</c:v>
                </c:pt>
                <c:pt idx="12">
                  <c:v>374188.04221709311</c:v>
                </c:pt>
                <c:pt idx="13">
                  <c:v>394866.8016512547</c:v>
                </c:pt>
                <c:pt idx="14">
                  <c:v>415545.5610854163</c:v>
                </c:pt>
                <c:pt idx="15">
                  <c:v>436224.32051957789</c:v>
                </c:pt>
                <c:pt idx="16">
                  <c:v>456903.07995373948</c:v>
                </c:pt>
                <c:pt idx="17">
                  <c:v>477581.83938790107</c:v>
                </c:pt>
                <c:pt idx="18">
                  <c:v>498260.59882206266</c:v>
                </c:pt>
                <c:pt idx="19">
                  <c:v>518939.35825622425</c:v>
                </c:pt>
                <c:pt idx="20">
                  <c:v>539618.1176903859</c:v>
                </c:pt>
                <c:pt idx="21">
                  <c:v>560296.87712454749</c:v>
                </c:pt>
                <c:pt idx="22">
                  <c:v>580975.63655870908</c:v>
                </c:pt>
                <c:pt idx="23">
                  <c:v>601654.39599287068</c:v>
                </c:pt>
                <c:pt idx="24">
                  <c:v>622333.15542703227</c:v>
                </c:pt>
                <c:pt idx="25">
                  <c:v>643011.91486119386</c:v>
                </c:pt>
                <c:pt idx="26">
                  <c:v>663690.67429535545</c:v>
                </c:pt>
                <c:pt idx="27">
                  <c:v>684369.43372951704</c:v>
                </c:pt>
                <c:pt idx="28">
                  <c:v>705048.19316367863</c:v>
                </c:pt>
                <c:pt idx="29">
                  <c:v>725726.95259784022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BreakevenAnalysis!#REF!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Lit>
              <c:ptCount val="1"/>
              <c:pt idx="0">
                <c:v>c12:c50</c:v>
              </c:pt>
            </c:strLit>
          </c:cat>
          <c:val>
            <c:numRef>
              <c:f>BreakevenAnalysis!#REF!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BreakevenAnalysis!$A$14</c:f>
              <c:strCache>
                <c:ptCount val="1"/>
                <c:pt idx="0">
                  <c:v>Take benefit at age 70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Lit>
              <c:ptCount val="1"/>
              <c:pt idx="0">
                <c:v>c12:c50</c:v>
              </c:pt>
            </c:strLit>
          </c:cat>
          <c:val>
            <c:numRef>
              <c:f>BreakevenAnalysis!$K$14:$AN$14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35732.896302231238</c:v>
                </c:pt>
                <c:pt idx="2">
                  <c:v>71465.792604462476</c:v>
                </c:pt>
                <c:pt idx="3">
                  <c:v>107198.68890669371</c:v>
                </c:pt>
                <c:pt idx="4">
                  <c:v>142931.58520892495</c:v>
                </c:pt>
                <c:pt idx="5">
                  <c:v>178664.48151115619</c:v>
                </c:pt>
                <c:pt idx="6">
                  <c:v>214397.37781338743</c:v>
                </c:pt>
                <c:pt idx="7">
                  <c:v>250130.27411561867</c:v>
                </c:pt>
                <c:pt idx="8">
                  <c:v>285863.17041784991</c:v>
                </c:pt>
                <c:pt idx="9">
                  <c:v>321596.06672008114</c:v>
                </c:pt>
                <c:pt idx="10">
                  <c:v>357328.96302231238</c:v>
                </c:pt>
                <c:pt idx="11">
                  <c:v>393061.85932454362</c:v>
                </c:pt>
                <c:pt idx="12">
                  <c:v>428794.75562677486</c:v>
                </c:pt>
                <c:pt idx="13">
                  <c:v>464527.6519290061</c:v>
                </c:pt>
                <c:pt idx="14">
                  <c:v>500260.54823123734</c:v>
                </c:pt>
                <c:pt idx="15">
                  <c:v>535993.44453346857</c:v>
                </c:pt>
                <c:pt idx="16">
                  <c:v>571726.34083569981</c:v>
                </c:pt>
                <c:pt idx="17">
                  <c:v>607459.23713793105</c:v>
                </c:pt>
                <c:pt idx="18">
                  <c:v>643192.13344016229</c:v>
                </c:pt>
                <c:pt idx="19">
                  <c:v>678925.02974239353</c:v>
                </c:pt>
                <c:pt idx="20">
                  <c:v>714657.92604462476</c:v>
                </c:pt>
                <c:pt idx="21">
                  <c:v>750390.822346856</c:v>
                </c:pt>
                <c:pt idx="22">
                  <c:v>786123.71864908724</c:v>
                </c:pt>
                <c:pt idx="23">
                  <c:v>821856.61495131848</c:v>
                </c:pt>
                <c:pt idx="24">
                  <c:v>857589.51125354972</c:v>
                </c:pt>
                <c:pt idx="25">
                  <c:v>893322.40755578096</c:v>
                </c:pt>
                <c:pt idx="26">
                  <c:v>929055.30385801219</c:v>
                </c:pt>
                <c:pt idx="27">
                  <c:v>964788.20016024343</c:v>
                </c:pt>
                <c:pt idx="28">
                  <c:v>1000521.0964624747</c:v>
                </c:pt>
                <c:pt idx="29">
                  <c:v>1036253.9927647059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BreakevenAnalysis!#REF!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Lit>
              <c:ptCount val="1"/>
              <c:pt idx="0">
                <c:v>c12:c50</c:v>
              </c:pt>
            </c:strLit>
          </c:cat>
          <c:val>
            <c:numRef>
              <c:f>BreakevenAnalysis!#REF!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BreakevenAnalysis!$A$15</c:f>
              <c:strCache>
                <c:ptCount val="1"/>
                <c:pt idx="0">
                  <c:v>Take benefit at age 62, buy annuity at 70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Lit>
              <c:ptCount val="1"/>
              <c:pt idx="0">
                <c:v>c12:c50</c:v>
              </c:pt>
            </c:strLit>
          </c:cat>
          <c:val>
            <c:numRef>
              <c:f>BreakevenAnalysis!$K$15:$AN$15</c:f>
              <c:numCache>
                <c:formatCode>_("$"* #,##0_);_("$"* \(#,##0\);_("$"* "-"??_);_(@_)</c:formatCode>
                <c:ptCount val="30"/>
                <c:pt idx="0">
                  <c:v>126042.92900715399</c:v>
                </c:pt>
                <c:pt idx="1">
                  <c:v>-16666.113522708736</c:v>
                </c:pt>
                <c:pt idx="2">
                  <c:v>19066.782779522502</c:v>
                </c:pt>
                <c:pt idx="3">
                  <c:v>54799.67908175374</c:v>
                </c:pt>
                <c:pt idx="4">
                  <c:v>90532.575383984979</c:v>
                </c:pt>
                <c:pt idx="5">
                  <c:v>126265.47168621622</c:v>
                </c:pt>
                <c:pt idx="6">
                  <c:v>161998.36798844745</c:v>
                </c:pt>
                <c:pt idx="7">
                  <c:v>197731.26429067869</c:v>
                </c:pt>
                <c:pt idx="8">
                  <c:v>233464.16059290993</c:v>
                </c:pt>
                <c:pt idx="9">
                  <c:v>269197.05689514114</c:v>
                </c:pt>
                <c:pt idx="10">
                  <c:v>304929.95319737238</c:v>
                </c:pt>
                <c:pt idx="11">
                  <c:v>340662.84949960362</c:v>
                </c:pt>
                <c:pt idx="12">
                  <c:v>376395.74580183486</c:v>
                </c:pt>
                <c:pt idx="13">
                  <c:v>412128.64210406609</c:v>
                </c:pt>
                <c:pt idx="14">
                  <c:v>447861.53840629733</c:v>
                </c:pt>
                <c:pt idx="15">
                  <c:v>483594.43470852857</c:v>
                </c:pt>
                <c:pt idx="16">
                  <c:v>519327.33101075981</c:v>
                </c:pt>
                <c:pt idx="17">
                  <c:v>555060.22731299105</c:v>
                </c:pt>
                <c:pt idx="18">
                  <c:v>590793.12361522228</c:v>
                </c:pt>
                <c:pt idx="19">
                  <c:v>626526.01991745352</c:v>
                </c:pt>
                <c:pt idx="20">
                  <c:v>662258.91621968476</c:v>
                </c:pt>
                <c:pt idx="21">
                  <c:v>697991.812521916</c:v>
                </c:pt>
                <c:pt idx="22">
                  <c:v>733724.70882414724</c:v>
                </c:pt>
                <c:pt idx="23">
                  <c:v>769457.60512637848</c:v>
                </c:pt>
                <c:pt idx="24">
                  <c:v>805190.50142860971</c:v>
                </c:pt>
                <c:pt idx="25">
                  <c:v>840923.39773084095</c:v>
                </c:pt>
                <c:pt idx="26">
                  <c:v>876656.29403307219</c:v>
                </c:pt>
                <c:pt idx="27">
                  <c:v>912389.19033530343</c:v>
                </c:pt>
                <c:pt idx="28">
                  <c:v>948122.08663753467</c:v>
                </c:pt>
                <c:pt idx="29">
                  <c:v>983854.98293976591</c:v>
                </c:pt>
              </c:numCache>
            </c:numRef>
          </c:val>
          <c:smooth val="0"/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Lit>
              <c:ptCount val="1"/>
              <c:pt idx="0">
                <c:v>c12:c50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86464"/>
        <c:axId val="71088000"/>
      </c:lineChart>
      <c:catAx>
        <c:axId val="7108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088000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7108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0864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320411541694547"/>
          <c:y val="3.3018867924528301E-2"/>
          <c:w val="0.31045815964180945"/>
          <c:h val="0.943399321547070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Social Security Break-even Age</a:t>
            </a:r>
          </a:p>
          <a:p>
            <a:pPr>
              <a:defRPr/>
            </a:pPr>
            <a:r>
              <a:rPr lang="en-US" sz="1400"/>
              <a:t>2% nominal return</a:t>
            </a:r>
          </a:p>
        </c:rich>
      </c:tx>
      <c:layout>
        <c:manualLayout>
          <c:xMode val="edge"/>
          <c:yMode val="edge"/>
          <c:x val="0.2367210651087969"/>
          <c:y val="3.48082041864908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785245768306027E-2"/>
          <c:y val="0.20000030247556808"/>
          <c:w val="0.40069334897789949"/>
          <c:h val="0.64778859031909664"/>
        </c:manualLayout>
      </c:layout>
      <c:lineChart>
        <c:grouping val="standard"/>
        <c:varyColors val="0"/>
        <c:ser>
          <c:idx val="2"/>
          <c:order val="0"/>
          <c:tx>
            <c:strRef>
              <c:f>BreakevenAnalysis!$A$13</c:f>
              <c:strCache>
                <c:ptCount val="1"/>
                <c:pt idx="0">
                  <c:v>Take benefit at age 62</c:v>
                </c:pt>
              </c:strCache>
            </c:strRef>
          </c:tx>
          <c:marker>
            <c:symbol val="none"/>
          </c:marker>
          <c:val>
            <c:numRef>
              <c:f>BreakevenAnalysis!$B$13:$AE$13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2">
                  <c:v>13493.51325</c:v>
                </c:pt>
                <c:pt idx="3">
                  <c:v>27472.792976999997</c:v>
                </c:pt>
                <c:pt idx="4">
                  <c:v>42033.737579667744</c:v>
                </c:pt>
                <c:pt idx="5">
                  <c:v>57393.199312404031</c:v>
                </c:pt>
                <c:pt idx="6">
                  <c:v>73469.108508209712</c:v>
                </c:pt>
                <c:pt idx="7">
                  <c:v>90136.10159969324</c:v>
                </c:pt>
                <c:pt idx="8">
                  <c:v>107955.86706245293</c:v>
                </c:pt>
                <c:pt idx="9">
                  <c:v>126042.92900715402</c:v>
                </c:pt>
                <c:pt idx="10">
                  <c:v>146721.68844131561</c:v>
                </c:pt>
                <c:pt idx="11">
                  <c:v>167400.4478754772</c:v>
                </c:pt>
                <c:pt idx="12">
                  <c:v>188079.20730963879</c:v>
                </c:pt>
                <c:pt idx="13">
                  <c:v>208757.96674380038</c:v>
                </c:pt>
                <c:pt idx="14">
                  <c:v>229436.72617796197</c:v>
                </c:pt>
                <c:pt idx="15">
                  <c:v>250115.48561212356</c:v>
                </c:pt>
                <c:pt idx="16">
                  <c:v>270794.24504628516</c:v>
                </c:pt>
                <c:pt idx="17">
                  <c:v>291473.00448044675</c:v>
                </c:pt>
                <c:pt idx="18">
                  <c:v>312151.76391460834</c:v>
                </c:pt>
                <c:pt idx="19">
                  <c:v>332830.52334876993</c:v>
                </c:pt>
                <c:pt idx="20">
                  <c:v>353509.28278293152</c:v>
                </c:pt>
                <c:pt idx="21">
                  <c:v>374188.04221709311</c:v>
                </c:pt>
                <c:pt idx="22">
                  <c:v>394866.8016512547</c:v>
                </c:pt>
                <c:pt idx="23">
                  <c:v>415545.5610854163</c:v>
                </c:pt>
                <c:pt idx="24">
                  <c:v>436224.32051957789</c:v>
                </c:pt>
                <c:pt idx="25">
                  <c:v>456903.07995373948</c:v>
                </c:pt>
                <c:pt idx="26">
                  <c:v>477581.83938790107</c:v>
                </c:pt>
                <c:pt idx="27">
                  <c:v>498260.59882206266</c:v>
                </c:pt>
                <c:pt idx="28">
                  <c:v>518939.35825622425</c:v>
                </c:pt>
                <c:pt idx="29">
                  <c:v>539618.1176903859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BreakevenAnalysis!$A$14</c:f>
              <c:strCache>
                <c:ptCount val="1"/>
                <c:pt idx="0">
                  <c:v>Take benefit at age 70</c:v>
                </c:pt>
              </c:strCache>
            </c:strRef>
          </c:tx>
          <c:marker>
            <c:symbol val="none"/>
          </c:marker>
          <c:val>
            <c:numRef>
              <c:f>BreakevenAnalysis!$B$14:$AE$14</c:f>
              <c:numCache>
                <c:formatCode>General</c:formatCode>
                <c:ptCount val="30"/>
                <c:pt idx="9" formatCode="_(&quot;$&quot;* #,##0_);_(&quot;$&quot;* \(#,##0\);_(&quot;$&quot;* &quot;-&quot;??_);_(@_)">
                  <c:v>0</c:v>
                </c:pt>
                <c:pt idx="10" formatCode="_(&quot;$&quot;* #,##0_);_(&quot;$&quot;* \(#,##0\);_(&quot;$&quot;* &quot;-&quot;??_);_(@_)">
                  <c:v>35732.896302231238</c:v>
                </c:pt>
                <c:pt idx="11" formatCode="_(&quot;$&quot;* #,##0_);_(&quot;$&quot;* \(#,##0\);_(&quot;$&quot;* &quot;-&quot;??_);_(@_)">
                  <c:v>71465.792604462476</c:v>
                </c:pt>
                <c:pt idx="12" formatCode="_(&quot;$&quot;* #,##0_);_(&quot;$&quot;* \(#,##0\);_(&quot;$&quot;* &quot;-&quot;??_);_(@_)">
                  <c:v>107198.68890669371</c:v>
                </c:pt>
                <c:pt idx="13" formatCode="_(&quot;$&quot;* #,##0_);_(&quot;$&quot;* \(#,##0\);_(&quot;$&quot;* &quot;-&quot;??_);_(@_)">
                  <c:v>142931.58520892495</c:v>
                </c:pt>
                <c:pt idx="14" formatCode="_(&quot;$&quot;* #,##0_);_(&quot;$&quot;* \(#,##0\);_(&quot;$&quot;* &quot;-&quot;??_);_(@_)">
                  <c:v>178664.48151115619</c:v>
                </c:pt>
                <c:pt idx="15" formatCode="_(&quot;$&quot;* #,##0_);_(&quot;$&quot;* \(#,##0\);_(&quot;$&quot;* &quot;-&quot;??_);_(@_)">
                  <c:v>214397.37781338743</c:v>
                </c:pt>
                <c:pt idx="16" formatCode="_(&quot;$&quot;* #,##0_);_(&quot;$&quot;* \(#,##0\);_(&quot;$&quot;* &quot;-&quot;??_);_(@_)">
                  <c:v>250130.27411561867</c:v>
                </c:pt>
                <c:pt idx="17" formatCode="_(&quot;$&quot;* #,##0_);_(&quot;$&quot;* \(#,##0\);_(&quot;$&quot;* &quot;-&quot;??_);_(@_)">
                  <c:v>285863.17041784991</c:v>
                </c:pt>
                <c:pt idx="18" formatCode="_(&quot;$&quot;* #,##0_);_(&quot;$&quot;* \(#,##0\);_(&quot;$&quot;* &quot;-&quot;??_);_(@_)">
                  <c:v>321596.06672008114</c:v>
                </c:pt>
                <c:pt idx="19" formatCode="_(&quot;$&quot;* #,##0_);_(&quot;$&quot;* \(#,##0\);_(&quot;$&quot;* &quot;-&quot;??_);_(@_)">
                  <c:v>357328.96302231238</c:v>
                </c:pt>
                <c:pt idx="20" formatCode="_(&quot;$&quot;* #,##0_);_(&quot;$&quot;* \(#,##0\);_(&quot;$&quot;* &quot;-&quot;??_);_(@_)">
                  <c:v>393061.85932454362</c:v>
                </c:pt>
                <c:pt idx="21" formatCode="_(&quot;$&quot;* #,##0_);_(&quot;$&quot;* \(#,##0\);_(&quot;$&quot;* &quot;-&quot;??_);_(@_)">
                  <c:v>428794.75562677486</c:v>
                </c:pt>
                <c:pt idx="22" formatCode="_(&quot;$&quot;* #,##0_);_(&quot;$&quot;* \(#,##0\);_(&quot;$&quot;* &quot;-&quot;??_);_(@_)">
                  <c:v>464527.6519290061</c:v>
                </c:pt>
                <c:pt idx="23" formatCode="_(&quot;$&quot;* #,##0_);_(&quot;$&quot;* \(#,##0\);_(&quot;$&quot;* &quot;-&quot;??_);_(@_)">
                  <c:v>500260.54823123734</c:v>
                </c:pt>
                <c:pt idx="24" formatCode="_(&quot;$&quot;* #,##0_);_(&quot;$&quot;* \(#,##0\);_(&quot;$&quot;* &quot;-&quot;??_);_(@_)">
                  <c:v>535993.44453346857</c:v>
                </c:pt>
                <c:pt idx="25" formatCode="_(&quot;$&quot;* #,##0_);_(&quot;$&quot;* \(#,##0\);_(&quot;$&quot;* &quot;-&quot;??_);_(@_)">
                  <c:v>571726.34083569981</c:v>
                </c:pt>
                <c:pt idx="26" formatCode="_(&quot;$&quot;* #,##0_);_(&quot;$&quot;* \(#,##0\);_(&quot;$&quot;* &quot;-&quot;??_);_(@_)">
                  <c:v>607459.23713793105</c:v>
                </c:pt>
                <c:pt idx="27" formatCode="_(&quot;$&quot;* #,##0_);_(&quot;$&quot;* \(#,##0\);_(&quot;$&quot;* &quot;-&quot;??_);_(@_)">
                  <c:v>643192.13344016229</c:v>
                </c:pt>
                <c:pt idx="28" formatCode="_(&quot;$&quot;* #,##0_);_(&quot;$&quot;* \(#,##0\);_(&quot;$&quot;* &quot;-&quot;??_);_(@_)">
                  <c:v>678925.02974239353</c:v>
                </c:pt>
                <c:pt idx="29" formatCode="_(&quot;$&quot;* #,##0_);_(&quot;$&quot;* \(#,##0\);_(&quot;$&quot;* &quot;-&quot;??_);_(@_)">
                  <c:v>714657.92604462476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BreakevenAnalysis!$A$15</c:f>
              <c:strCache>
                <c:ptCount val="1"/>
                <c:pt idx="0">
                  <c:v>Take benefit at age 62, buy annuity at 70</c:v>
                </c:pt>
              </c:strCache>
            </c:strRef>
          </c:tx>
          <c:marker>
            <c:symbol val="none"/>
          </c:marker>
          <c:val>
            <c:numRef>
              <c:f>BreakevenAnalysis!$B$15:$AE$15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2">
                  <c:v>13493.51325</c:v>
                </c:pt>
                <c:pt idx="3">
                  <c:v>27472.792976999997</c:v>
                </c:pt>
                <c:pt idx="4">
                  <c:v>42033.737579667744</c:v>
                </c:pt>
                <c:pt idx="5">
                  <c:v>57393.199312404031</c:v>
                </c:pt>
                <c:pt idx="6">
                  <c:v>73469.108508209712</c:v>
                </c:pt>
                <c:pt idx="7">
                  <c:v>90136.10159969324</c:v>
                </c:pt>
                <c:pt idx="8">
                  <c:v>107955.86706245293</c:v>
                </c:pt>
                <c:pt idx="9">
                  <c:v>126042.92900715399</c:v>
                </c:pt>
                <c:pt idx="10">
                  <c:v>-16666.113522708736</c:v>
                </c:pt>
                <c:pt idx="11">
                  <c:v>19066.782779522502</c:v>
                </c:pt>
                <c:pt idx="12">
                  <c:v>54799.67908175374</c:v>
                </c:pt>
                <c:pt idx="13">
                  <c:v>90532.575383984979</c:v>
                </c:pt>
                <c:pt idx="14">
                  <c:v>126265.47168621622</c:v>
                </c:pt>
                <c:pt idx="15">
                  <c:v>161998.36798844745</c:v>
                </c:pt>
                <c:pt idx="16">
                  <c:v>197731.26429067869</c:v>
                </c:pt>
                <c:pt idx="17">
                  <c:v>233464.16059290993</c:v>
                </c:pt>
                <c:pt idx="18">
                  <c:v>269197.05689514114</c:v>
                </c:pt>
                <c:pt idx="19">
                  <c:v>304929.95319737238</c:v>
                </c:pt>
                <c:pt idx="20">
                  <c:v>340662.84949960362</c:v>
                </c:pt>
                <c:pt idx="21">
                  <c:v>376395.74580183486</c:v>
                </c:pt>
                <c:pt idx="22">
                  <c:v>412128.64210406609</c:v>
                </c:pt>
                <c:pt idx="23">
                  <c:v>447861.53840629733</c:v>
                </c:pt>
                <c:pt idx="24">
                  <c:v>483594.43470852857</c:v>
                </c:pt>
                <c:pt idx="25">
                  <c:v>519327.33101075981</c:v>
                </c:pt>
                <c:pt idx="26">
                  <c:v>555060.22731299105</c:v>
                </c:pt>
                <c:pt idx="27">
                  <c:v>590793.12361522228</c:v>
                </c:pt>
                <c:pt idx="28">
                  <c:v>626526.01991745352</c:v>
                </c:pt>
                <c:pt idx="29">
                  <c:v>662258.91621968476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28128"/>
        <c:axId val="71738496"/>
      </c:lineChart>
      <c:catAx>
        <c:axId val="71728128"/>
        <c:scaling>
          <c:orientation val="minMax"/>
        </c:scaling>
        <c:delete val="0"/>
        <c:axPos val="b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Retiree Age</a:t>
                </a:r>
              </a:p>
            </c:rich>
          </c:tx>
          <c:layout>
            <c:manualLayout>
              <c:xMode val="edge"/>
              <c:yMode val="edge"/>
              <c:x val="0.16291603383361386"/>
              <c:y val="0.92009150352465308"/>
            </c:manualLayout>
          </c:layout>
          <c:overlay val="0"/>
        </c:title>
        <c:numFmt formatCode="General" sourceLinked="0"/>
        <c:majorTickMark val="out"/>
        <c:minorTickMark val="in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717384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71738496"/>
        <c:scaling>
          <c:orientation val="minMax"/>
          <c:min val="-100000"/>
        </c:scaling>
        <c:delete val="0"/>
        <c:axPos val="r"/>
        <c:maj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Cumulative Benefit</a:t>
                </a:r>
              </a:p>
            </c:rich>
          </c:tx>
          <c:layout>
            <c:manualLayout>
              <c:xMode val="edge"/>
              <c:yMode val="edge"/>
              <c:x val="0.60392687809185153"/>
              <c:y val="0.3256642831306864"/>
            </c:manualLayout>
          </c:layout>
          <c:overlay val="0"/>
        </c:title>
        <c:numFmt formatCode="_(&quot;$&quot;* #,##0_);_(&quot;$&quot;* \(#,##0\);_(&quot;$&quot;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1728128"/>
        <c:crosses val="max"/>
        <c:crossBetween val="between"/>
        <c:minorUnit val="100000"/>
      </c:valAx>
    </c:plotArea>
    <c:legend>
      <c:legendPos val="r"/>
      <c:layout>
        <c:manualLayout>
          <c:xMode val="edge"/>
          <c:yMode val="edge"/>
          <c:x val="0.66974672520773615"/>
          <c:y val="0.35575271509789191"/>
          <c:w val="0.31295027530140102"/>
          <c:h val="0.3273730044966324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441960</xdr:colOff>
      <xdr:row>8</xdr:row>
      <xdr:rowOff>137160</xdr:rowOff>
    </xdr:from>
    <xdr:to>
      <xdr:col>41</xdr:col>
      <xdr:colOff>381000</xdr:colOff>
      <xdr:row>17</xdr:row>
      <xdr:rowOff>76200</xdr:rowOff>
    </xdr:to>
    <xdr:graphicFrame macro="">
      <xdr:nvGraphicFramePr>
        <xdr:cNvPr id="10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472440</xdr:colOff>
      <xdr:row>19</xdr:row>
      <xdr:rowOff>109220</xdr:rowOff>
    </xdr:from>
    <xdr:to>
      <xdr:col>17</xdr:col>
      <xdr:colOff>477520</xdr:colOff>
      <xdr:row>44</xdr:row>
      <xdr:rowOff>55880</xdr:rowOff>
    </xdr:to>
    <xdr:graphicFrame macro="">
      <xdr:nvGraphicFramePr>
        <xdr:cNvPr id="103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sa.gov/OACT/ProgData/ar_drc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sa.gov/OACT/ProgData/ar_drc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75" zoomScaleNormal="75" workbookViewId="0">
      <selection activeCell="I43" sqref="I43"/>
    </sheetView>
  </sheetViews>
  <sheetFormatPr defaultRowHeight="13.2" x14ac:dyDescent="0.25"/>
  <cols>
    <col min="1" max="1" width="13.77734375" customWidth="1"/>
    <col min="2" max="2" width="11.77734375" customWidth="1"/>
    <col min="3" max="3" width="11.6640625" customWidth="1"/>
    <col min="4" max="4" width="12.33203125" bestFit="1" customWidth="1"/>
    <col min="5" max="5" width="14.6640625" customWidth="1"/>
    <col min="6" max="6" width="11.6640625" customWidth="1"/>
    <col min="7" max="7" width="10.6640625" customWidth="1"/>
    <col min="8" max="8" width="9.33203125" bestFit="1" customWidth="1"/>
    <col min="9" max="9" width="9.33203125" customWidth="1"/>
    <col min="10" max="10" width="11.6640625" customWidth="1"/>
    <col min="11" max="12" width="10.6640625" customWidth="1"/>
    <col min="13" max="13" width="11.6640625" customWidth="1"/>
    <col min="14" max="14" width="12.6640625" customWidth="1"/>
  </cols>
  <sheetData>
    <row r="1" spans="1:14" ht="17.399999999999999" x14ac:dyDescent="0.3">
      <c r="A1" s="24" t="s">
        <v>17</v>
      </c>
    </row>
    <row r="2" spans="1:14" ht="15.6" x14ac:dyDescent="0.3">
      <c r="A2" s="32" t="s">
        <v>34</v>
      </c>
      <c r="B2" s="2"/>
    </row>
    <row r="3" spans="1:14" ht="15.6" x14ac:dyDescent="0.3">
      <c r="A3" s="31" t="s">
        <v>33</v>
      </c>
      <c r="B3" s="2"/>
    </row>
    <row r="4" spans="1:14" ht="15.6" x14ac:dyDescent="0.3">
      <c r="A4" s="18" t="s">
        <v>10</v>
      </c>
      <c r="B4" s="2"/>
    </row>
    <row r="5" spans="1:14" ht="15.6" x14ac:dyDescent="0.3">
      <c r="A5" s="33" t="s">
        <v>11</v>
      </c>
      <c r="B5" s="2"/>
    </row>
    <row r="6" spans="1:14" ht="15.6" x14ac:dyDescent="0.3">
      <c r="A6" s="33"/>
      <c r="B6" s="2"/>
    </row>
    <row r="7" spans="1:14" x14ac:dyDescent="0.25">
      <c r="A7" s="37">
        <v>0.25</v>
      </c>
      <c r="B7" s="36" t="s">
        <v>47</v>
      </c>
    </row>
    <row r="8" spans="1:14" x14ac:dyDescent="0.25">
      <c r="A8" s="37">
        <v>0.02</v>
      </c>
      <c r="B8" s="36" t="s">
        <v>48</v>
      </c>
    </row>
    <row r="9" spans="1:14" x14ac:dyDescent="0.25">
      <c r="A9" s="30">
        <f>1255/703.31*100000</f>
        <v>178441.93883209396</v>
      </c>
      <c r="B9" s="36" t="s">
        <v>49</v>
      </c>
    </row>
    <row r="10" spans="1:14" x14ac:dyDescent="0.25">
      <c r="A10" s="37">
        <v>0</v>
      </c>
      <c r="B10" s="36" t="s">
        <v>51</v>
      </c>
    </row>
    <row r="11" spans="1:14" ht="15.6" x14ac:dyDescent="0.3">
      <c r="A11" s="19"/>
      <c r="B11" s="2"/>
    </row>
    <row r="12" spans="1:14" ht="15.6" x14ac:dyDescent="0.3">
      <c r="A12" s="22" t="s">
        <v>14</v>
      </c>
      <c r="B12" s="2"/>
    </row>
    <row r="13" spans="1:14" x14ac:dyDescent="0.25">
      <c r="E13" s="6" t="s">
        <v>23</v>
      </c>
      <c r="I13" s="6"/>
      <c r="J13" s="26" t="s">
        <v>19</v>
      </c>
    </row>
    <row r="14" spans="1:14" x14ac:dyDescent="0.25">
      <c r="C14" s="6" t="s">
        <v>1</v>
      </c>
      <c r="D14" s="6" t="s">
        <v>3</v>
      </c>
      <c r="E14" s="6" t="s">
        <v>22</v>
      </c>
      <c r="F14" s="6" t="s">
        <v>24</v>
      </c>
      <c r="G14" s="6" t="s">
        <v>25</v>
      </c>
      <c r="H14" s="6" t="s">
        <v>1</v>
      </c>
      <c r="I14" s="6"/>
      <c r="J14" s="6"/>
      <c r="L14" s="6" t="s">
        <v>16</v>
      </c>
      <c r="M14" s="6" t="s">
        <v>15</v>
      </c>
    </row>
    <row r="15" spans="1:14" x14ac:dyDescent="0.25">
      <c r="C15" s="6" t="s">
        <v>2</v>
      </c>
      <c r="D15" s="6" t="s">
        <v>2</v>
      </c>
      <c r="E15" s="6" t="s">
        <v>21</v>
      </c>
      <c r="F15" s="38">
        <f>$A$7</f>
        <v>0.25</v>
      </c>
      <c r="G15" s="6" t="s">
        <v>26</v>
      </c>
      <c r="H15" s="6" t="s">
        <v>2</v>
      </c>
      <c r="I15" s="6"/>
      <c r="J15" s="6"/>
      <c r="K15" s="6" t="s">
        <v>25</v>
      </c>
      <c r="L15" s="38">
        <f>$A$8</f>
        <v>0.02</v>
      </c>
      <c r="M15" s="6" t="s">
        <v>16</v>
      </c>
    </row>
    <row r="16" spans="1:14" x14ac:dyDescent="0.25">
      <c r="A16" s="6" t="s">
        <v>28</v>
      </c>
      <c r="B16" s="6" t="s">
        <v>29</v>
      </c>
      <c r="C16" s="7" t="s">
        <v>0</v>
      </c>
      <c r="D16" s="6" t="s">
        <v>5</v>
      </c>
      <c r="E16" s="27">
        <v>0.85</v>
      </c>
      <c r="F16" s="6" t="s">
        <v>20</v>
      </c>
      <c r="G16" s="29" t="s">
        <v>27</v>
      </c>
      <c r="H16" s="7" t="s">
        <v>4</v>
      </c>
      <c r="I16" s="7"/>
      <c r="J16" s="6" t="s">
        <v>13</v>
      </c>
      <c r="K16" s="6" t="s">
        <v>6</v>
      </c>
      <c r="L16" s="6" t="s">
        <v>18</v>
      </c>
      <c r="M16" s="38">
        <f>$A$7</f>
        <v>0.25</v>
      </c>
      <c r="N16" s="6" t="s">
        <v>12</v>
      </c>
    </row>
    <row r="18" spans="1:16" x14ac:dyDescent="0.25">
      <c r="A18" s="4">
        <v>2003</v>
      </c>
      <c r="B18" s="13">
        <v>1.4E-2</v>
      </c>
      <c r="C18" s="25">
        <v>1412</v>
      </c>
      <c r="D18" s="8">
        <f t="shared" ref="D18:D25" si="0">C18*12</f>
        <v>16944</v>
      </c>
      <c r="E18" s="8">
        <f>D18*$E$16</f>
        <v>14402.4</v>
      </c>
      <c r="F18" s="8">
        <f>E18*$F$15</f>
        <v>3600.6</v>
      </c>
      <c r="G18" s="8">
        <f>D18-F18</f>
        <v>13343.4</v>
      </c>
      <c r="I18" s="15"/>
      <c r="J18" s="15">
        <v>0</v>
      </c>
      <c r="K18" s="10">
        <f>G18</f>
        <v>13343.4</v>
      </c>
      <c r="L18" s="16">
        <f t="shared" ref="L18:L25" si="1">(J18+(K18*0.75))*$L$15</f>
        <v>200.15099999999998</v>
      </c>
      <c r="M18" s="16">
        <f>-L18*$M$16</f>
        <v>-50.037749999999996</v>
      </c>
      <c r="N18" s="10">
        <f>J18+K18+L18+M18</f>
        <v>13493.51325</v>
      </c>
    </row>
    <row r="19" spans="1:16" x14ac:dyDescent="0.25">
      <c r="A19" s="3">
        <v>2004</v>
      </c>
      <c r="B19" s="13">
        <v>2.1000000000000001E-2</v>
      </c>
      <c r="C19" s="9">
        <f>C18*(1+B19)</f>
        <v>1441.6519999999998</v>
      </c>
      <c r="D19" s="8">
        <f t="shared" si="0"/>
        <v>17299.823999999997</v>
      </c>
      <c r="E19" s="8">
        <f t="shared" ref="E19:E25" si="2">D19*$E$16</f>
        <v>14704.850399999998</v>
      </c>
      <c r="F19" s="8">
        <f t="shared" ref="F19:F25" si="3">E19*$F$15</f>
        <v>3676.2125999999994</v>
      </c>
      <c r="G19" s="8">
        <f t="shared" ref="G19:G25" si="4">D19-F19</f>
        <v>13623.611399999998</v>
      </c>
      <c r="J19" s="10">
        <f t="shared" ref="J19:J25" si="5">N18</f>
        <v>13493.51325</v>
      </c>
      <c r="K19" s="10">
        <f t="shared" ref="K19:K25" si="6">G19</f>
        <v>13623.611399999998</v>
      </c>
      <c r="L19" s="16">
        <f t="shared" si="1"/>
        <v>474.22443599999997</v>
      </c>
      <c r="M19" s="16">
        <f t="shared" ref="M19:M25" si="7">-L19*$M$16</f>
        <v>-118.55610899999999</v>
      </c>
      <c r="N19" s="10">
        <f t="shared" ref="N19:N25" si="8">J19+K19+L19+M19</f>
        <v>27472.792976999997</v>
      </c>
      <c r="P19">
        <f>88*12</f>
        <v>1056</v>
      </c>
    </row>
    <row r="20" spans="1:16" x14ac:dyDescent="0.25">
      <c r="A20" s="4">
        <v>2005</v>
      </c>
      <c r="B20" s="13">
        <v>2.7E-2</v>
      </c>
      <c r="C20" s="9">
        <f t="shared" ref="C20:C25" si="9">C19*(1+B20)</f>
        <v>1480.5766039999996</v>
      </c>
      <c r="D20" s="8">
        <f t="shared" si="0"/>
        <v>17766.919247999995</v>
      </c>
      <c r="E20" s="8">
        <f t="shared" si="2"/>
        <v>15101.881360799995</v>
      </c>
      <c r="F20" s="8">
        <f t="shared" si="3"/>
        <v>3775.4703401999986</v>
      </c>
      <c r="G20" s="8">
        <f t="shared" si="4"/>
        <v>13991.448907799997</v>
      </c>
      <c r="J20" s="10">
        <f t="shared" si="5"/>
        <v>27472.792976999997</v>
      </c>
      <c r="K20" s="10">
        <f t="shared" si="6"/>
        <v>13991.448907799997</v>
      </c>
      <c r="L20" s="16">
        <f t="shared" si="1"/>
        <v>759.32759315699991</v>
      </c>
      <c r="M20" s="16">
        <f t="shared" si="7"/>
        <v>-189.83189828924998</v>
      </c>
      <c r="N20" s="10">
        <f t="shared" si="8"/>
        <v>42033.737579667744</v>
      </c>
    </row>
    <row r="21" spans="1:16" x14ac:dyDescent="0.25">
      <c r="A21" s="3">
        <v>2006</v>
      </c>
      <c r="B21" s="13">
        <v>4.1000000000000002E-2</v>
      </c>
      <c r="C21" s="9">
        <f t="shared" si="9"/>
        <v>1541.2802447639995</v>
      </c>
      <c r="D21" s="8">
        <f t="shared" si="0"/>
        <v>18495.362937167993</v>
      </c>
      <c r="E21" s="8">
        <f t="shared" si="2"/>
        <v>15721.058496592794</v>
      </c>
      <c r="F21" s="8">
        <f t="shared" si="3"/>
        <v>3930.2646241481984</v>
      </c>
      <c r="G21" s="8">
        <f t="shared" si="4"/>
        <v>14565.098313019795</v>
      </c>
      <c r="J21" s="10">
        <f t="shared" si="5"/>
        <v>42033.737579667744</v>
      </c>
      <c r="K21" s="10">
        <f t="shared" si="6"/>
        <v>14565.098313019795</v>
      </c>
      <c r="L21" s="16">
        <f t="shared" si="1"/>
        <v>1059.1512262886517</v>
      </c>
      <c r="M21" s="16">
        <f t="shared" si="7"/>
        <v>-264.78780657216294</v>
      </c>
      <c r="N21" s="10">
        <f t="shared" si="8"/>
        <v>57393.199312404031</v>
      </c>
    </row>
    <row r="22" spans="1:16" ht="13.8" thickBot="1" x14ac:dyDescent="0.3">
      <c r="A22" s="5">
        <v>2007</v>
      </c>
      <c r="B22" s="13">
        <v>3.3000000000000002E-2</v>
      </c>
      <c r="C22" s="9">
        <f t="shared" si="9"/>
        <v>1592.1424928412114</v>
      </c>
      <c r="D22" s="8">
        <f t="shared" si="0"/>
        <v>19105.709914094536</v>
      </c>
      <c r="E22" s="8">
        <f t="shared" si="2"/>
        <v>16239.853426980355</v>
      </c>
      <c r="F22" s="8">
        <f t="shared" si="3"/>
        <v>4059.9633567450887</v>
      </c>
      <c r="G22" s="8">
        <f t="shared" si="4"/>
        <v>15045.746557349446</v>
      </c>
      <c r="J22" s="10">
        <f t="shared" si="5"/>
        <v>57393.199312404031</v>
      </c>
      <c r="K22" s="10">
        <f t="shared" si="6"/>
        <v>15045.746557349446</v>
      </c>
      <c r="L22" s="16">
        <f t="shared" si="1"/>
        <v>1373.5501846083225</v>
      </c>
      <c r="M22" s="16">
        <f t="shared" si="7"/>
        <v>-343.38754615208063</v>
      </c>
      <c r="N22" s="10">
        <f t="shared" si="8"/>
        <v>73469.108508209712</v>
      </c>
    </row>
    <row r="23" spans="1:16" x14ac:dyDescent="0.25">
      <c r="A23" s="4">
        <v>2008</v>
      </c>
      <c r="B23" s="13">
        <v>2.3E-2</v>
      </c>
      <c r="C23" s="9">
        <f t="shared" si="9"/>
        <v>1628.7617701765591</v>
      </c>
      <c r="D23" s="8">
        <f t="shared" si="0"/>
        <v>19545.141242118709</v>
      </c>
      <c r="E23" s="8">
        <f t="shared" si="2"/>
        <v>16613.3700558009</v>
      </c>
      <c r="F23" s="8">
        <f t="shared" si="3"/>
        <v>4153.3425139502251</v>
      </c>
      <c r="G23" s="8">
        <f t="shared" si="4"/>
        <v>15391.798728168484</v>
      </c>
      <c r="H23" s="14"/>
      <c r="J23" s="10">
        <f t="shared" si="5"/>
        <v>73469.108508209712</v>
      </c>
      <c r="K23" s="10">
        <f t="shared" si="6"/>
        <v>15391.798728168484</v>
      </c>
      <c r="L23" s="16">
        <f t="shared" si="1"/>
        <v>1700.2591510867214</v>
      </c>
      <c r="M23" s="16">
        <f t="shared" si="7"/>
        <v>-425.06478777168036</v>
      </c>
      <c r="N23" s="10">
        <f t="shared" si="8"/>
        <v>90136.10159969324</v>
      </c>
    </row>
    <row r="24" spans="1:16" x14ac:dyDescent="0.25">
      <c r="A24" s="3">
        <v>2009</v>
      </c>
      <c r="B24" s="13">
        <v>5.8000000000000003E-2</v>
      </c>
      <c r="C24" s="9">
        <f t="shared" si="9"/>
        <v>1723.2299528467997</v>
      </c>
      <c r="D24" s="8">
        <f t="shared" si="0"/>
        <v>20678.759434161599</v>
      </c>
      <c r="E24" s="8">
        <f t="shared" si="2"/>
        <v>17576.945519037359</v>
      </c>
      <c r="F24" s="8">
        <f t="shared" si="3"/>
        <v>4394.2363797593398</v>
      </c>
      <c r="G24" s="8">
        <f t="shared" si="4"/>
        <v>16284.52305440226</v>
      </c>
      <c r="H24" s="14"/>
      <c r="J24" s="10">
        <f t="shared" si="5"/>
        <v>90136.10159969324</v>
      </c>
      <c r="K24" s="10">
        <f t="shared" si="6"/>
        <v>16284.52305440226</v>
      </c>
      <c r="L24" s="16">
        <f t="shared" si="1"/>
        <v>2046.9898778098989</v>
      </c>
      <c r="M24" s="16">
        <f t="shared" si="7"/>
        <v>-511.74746945247472</v>
      </c>
      <c r="N24" s="10">
        <f t="shared" si="8"/>
        <v>107955.86706245293</v>
      </c>
    </row>
    <row r="25" spans="1:16" ht="13.8" thickBot="1" x14ac:dyDescent="0.3">
      <c r="A25" s="5">
        <v>2010</v>
      </c>
      <c r="B25" s="13">
        <v>0</v>
      </c>
      <c r="C25" s="9">
        <f t="shared" si="9"/>
        <v>1723.2299528467997</v>
      </c>
      <c r="D25" s="8">
        <f t="shared" si="0"/>
        <v>20678.759434161599</v>
      </c>
      <c r="E25" s="8">
        <f t="shared" si="2"/>
        <v>17576.945519037359</v>
      </c>
      <c r="F25" s="8">
        <f t="shared" si="3"/>
        <v>4394.2363797593398</v>
      </c>
      <c r="G25" s="8">
        <f t="shared" si="4"/>
        <v>16284.52305440226</v>
      </c>
      <c r="H25" s="14">
        <f>C25*1.728</f>
        <v>2977.7413585192699</v>
      </c>
      <c r="I25" s="14"/>
      <c r="J25" s="10">
        <f t="shared" si="5"/>
        <v>107955.86706245293</v>
      </c>
      <c r="K25" s="10">
        <f t="shared" si="6"/>
        <v>16284.52305440226</v>
      </c>
      <c r="L25" s="16">
        <f t="shared" si="1"/>
        <v>2403.3851870650929</v>
      </c>
      <c r="M25" s="16">
        <f t="shared" si="7"/>
        <v>-600.84629676627321</v>
      </c>
      <c r="N25" s="10">
        <f t="shared" si="8"/>
        <v>126042.92900715402</v>
      </c>
    </row>
    <row r="26" spans="1:16" x14ac:dyDescent="0.25">
      <c r="K26" s="10">
        <f>SUM(K18:K25)</f>
        <v>118530.15001514225</v>
      </c>
    </row>
    <row r="27" spans="1:16" x14ac:dyDescent="0.25">
      <c r="B27" s="1" t="s">
        <v>35</v>
      </c>
      <c r="C27" s="1"/>
      <c r="D27" s="10">
        <f>SUM(D18:D26)</f>
        <v>150514.47620970441</v>
      </c>
      <c r="E27" s="10"/>
      <c r="F27" s="16">
        <f>SUM(F18:F26)</f>
        <v>31984.326194562189</v>
      </c>
      <c r="G27" s="10"/>
      <c r="K27" s="12" t="s">
        <v>9</v>
      </c>
      <c r="L27" s="16">
        <f>SUM(L18:L26)</f>
        <v>10017.038656015688</v>
      </c>
      <c r="M27" s="16">
        <f>SUM(M18:M26)</f>
        <v>-2504.2596640039219</v>
      </c>
    </row>
    <row r="28" spans="1:16" ht="13.8" thickBot="1" x14ac:dyDescent="0.3">
      <c r="B28" t="s">
        <v>36</v>
      </c>
      <c r="D28" s="34">
        <f>-F27</f>
        <v>-31984.326194562189</v>
      </c>
      <c r="E28" s="11"/>
      <c r="F28" s="11"/>
      <c r="G28" s="11"/>
      <c r="K28" s="12" t="s">
        <v>7</v>
      </c>
      <c r="L28" s="17">
        <f>L27*0.25</f>
        <v>2504.2596640039219</v>
      </c>
      <c r="M28" s="23"/>
    </row>
    <row r="29" spans="1:16" ht="14.4" thickTop="1" thickBot="1" x14ac:dyDescent="0.3">
      <c r="B29" t="s">
        <v>37</v>
      </c>
      <c r="D29" s="17">
        <f>L29</f>
        <v>7512.7789920117657</v>
      </c>
      <c r="E29" s="8"/>
      <c r="F29" s="8"/>
      <c r="G29" s="8"/>
      <c r="K29" s="12" t="s">
        <v>8</v>
      </c>
      <c r="L29" s="16">
        <f>L27-L28</f>
        <v>7512.7789920117657</v>
      </c>
      <c r="M29" s="16"/>
    </row>
    <row r="30" spans="1:16" ht="13.8" thickTop="1" x14ac:dyDescent="0.25">
      <c r="B30" s="35" t="s">
        <v>38</v>
      </c>
      <c r="C30" s="12"/>
      <c r="D30" s="34">
        <f>SUM(D27:D29)</f>
        <v>126042.92900715399</v>
      </c>
      <c r="E30" s="28"/>
      <c r="F30" s="28"/>
      <c r="G30" s="28"/>
    </row>
    <row r="31" spans="1:16" x14ac:dyDescent="0.25">
      <c r="B31" s="12"/>
      <c r="C31" s="12"/>
      <c r="D31" s="8"/>
      <c r="E31" s="8"/>
      <c r="F31" s="8"/>
      <c r="G31" s="8"/>
    </row>
    <row r="32" spans="1:16" x14ac:dyDescent="0.25">
      <c r="A32" t="s">
        <v>40</v>
      </c>
      <c r="B32" s="14"/>
    </row>
    <row r="33" spans="1:7" x14ac:dyDescent="0.25">
      <c r="B33" s="8">
        <f>H25</f>
        <v>2977.7413585192699</v>
      </c>
      <c r="C33" s="10">
        <f>-C25</f>
        <v>-1723.2299528467997</v>
      </c>
      <c r="D33" s="8">
        <f>H25-C25</f>
        <v>1254.5114056724701</v>
      </c>
      <c r="F33" s="8"/>
      <c r="G33" s="8"/>
    </row>
    <row r="34" spans="1:7" x14ac:dyDescent="0.25">
      <c r="D34" s="8"/>
      <c r="F34" s="8"/>
      <c r="G34" s="8"/>
    </row>
    <row r="35" spans="1:7" x14ac:dyDescent="0.25">
      <c r="A35" t="s">
        <v>39</v>
      </c>
    </row>
    <row r="36" spans="1:7" x14ac:dyDescent="0.25">
      <c r="A36" t="s">
        <v>30</v>
      </c>
      <c r="D36" s="30">
        <f>1255/703.31*100000</f>
        <v>178441.93883209396</v>
      </c>
      <c r="E36" t="s">
        <v>53</v>
      </c>
      <c r="F36" s="10" t="s">
        <v>32</v>
      </c>
      <c r="G36" s="10"/>
    </row>
    <row r="37" spans="1:7" x14ac:dyDescent="0.25">
      <c r="A37" s="10">
        <f>D33</f>
        <v>1254.5114056724701</v>
      </c>
      <c r="B37" t="s">
        <v>31</v>
      </c>
      <c r="D37" s="30">
        <f>1255/607.52*100000</f>
        <v>206577.56123255205</v>
      </c>
      <c r="E37" t="s">
        <v>54</v>
      </c>
      <c r="F37" s="8"/>
      <c r="G37" s="8"/>
    </row>
    <row r="39" spans="1:7" x14ac:dyDescent="0.25">
      <c r="A39" s="20" t="s">
        <v>41</v>
      </c>
      <c r="B39" s="20"/>
      <c r="C39" s="20"/>
      <c r="D39" s="21">
        <f>D36-D30</f>
        <v>52399.009824939974</v>
      </c>
      <c r="E39" t="s">
        <v>53</v>
      </c>
      <c r="F39" s="21"/>
      <c r="G39" s="21"/>
    </row>
    <row r="40" spans="1:7" x14ac:dyDescent="0.25">
      <c r="D40" s="21">
        <f>D37-D30</f>
        <v>80534.632225398062</v>
      </c>
      <c r="E40" t="s">
        <v>54</v>
      </c>
      <c r="F40" s="21"/>
      <c r="G40" s="21"/>
    </row>
  </sheetData>
  <phoneticPr fontId="0" type="noConversion"/>
  <hyperlinks>
    <hyperlink ref="A5" r:id="rId1"/>
  </hyperlinks>
  <pageMargins left="0.75" right="0.75" top="1" bottom="1" header="0.5" footer="0.5"/>
  <pageSetup orientation="portrait" horizontalDpi="12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W15"/>
  <sheetViews>
    <sheetView view="pageBreakPreview" topLeftCell="M1" zoomScale="60" zoomScaleNormal="100" workbookViewId="0">
      <selection activeCell="Z36" sqref="Z36"/>
    </sheetView>
  </sheetViews>
  <sheetFormatPr defaultRowHeight="13.2" x14ac:dyDescent="0.25"/>
  <cols>
    <col min="1" max="1" width="36.77734375" customWidth="1"/>
    <col min="2" max="10" width="13.77734375" customWidth="1"/>
    <col min="11" max="11" width="13.5546875" bestFit="1" customWidth="1"/>
    <col min="12" max="42" width="13.77734375" customWidth="1"/>
  </cols>
  <sheetData>
    <row r="1" spans="1:179" ht="17.399999999999999" x14ac:dyDescent="0.3">
      <c r="A1" s="24" t="s">
        <v>17</v>
      </c>
      <c r="B1" s="24"/>
      <c r="C1" s="24"/>
      <c r="D1" s="24"/>
      <c r="E1" s="24"/>
      <c r="F1" s="24"/>
      <c r="G1" s="24"/>
      <c r="H1" s="24"/>
      <c r="I1" s="24"/>
      <c r="J1" s="24"/>
    </row>
    <row r="2" spans="1:179" ht="15.6" x14ac:dyDescent="0.3">
      <c r="A2" s="32" t="s">
        <v>42</v>
      </c>
      <c r="B2" s="32"/>
      <c r="C2" s="32"/>
      <c r="D2" s="32"/>
      <c r="E2" s="32"/>
      <c r="F2" s="32"/>
      <c r="G2" s="32"/>
      <c r="H2" s="32"/>
      <c r="I2" s="32"/>
      <c r="J2" s="32"/>
    </row>
    <row r="3" spans="1:179" x14ac:dyDescent="0.25">
      <c r="A3" s="31" t="s">
        <v>33</v>
      </c>
      <c r="B3" s="31"/>
      <c r="C3" s="31"/>
      <c r="D3" s="31"/>
      <c r="E3" s="31"/>
      <c r="F3" s="31"/>
      <c r="G3" s="31"/>
      <c r="H3" s="31"/>
      <c r="I3" s="31"/>
      <c r="J3" s="31"/>
    </row>
    <row r="4" spans="1:179" x14ac:dyDescent="0.25">
      <c r="A4" s="18" t="s">
        <v>10</v>
      </c>
      <c r="B4" s="18"/>
      <c r="C4" s="18"/>
      <c r="D4" s="18"/>
      <c r="E4" s="18"/>
      <c r="F4" s="18"/>
      <c r="G4" s="18"/>
      <c r="H4" s="18"/>
      <c r="I4" s="18"/>
      <c r="J4" s="18"/>
    </row>
    <row r="5" spans="1:179" x14ac:dyDescent="0.25">
      <c r="A5" s="33" t="s">
        <v>11</v>
      </c>
      <c r="B5" s="33"/>
      <c r="C5" s="33"/>
      <c r="D5" s="33"/>
      <c r="E5" s="33"/>
      <c r="F5" s="33"/>
      <c r="G5" s="33"/>
      <c r="H5" s="33"/>
      <c r="I5" s="33"/>
      <c r="J5" s="33"/>
    </row>
    <row r="8" spans="1:179" x14ac:dyDescent="0.25">
      <c r="K8" s="20" t="s">
        <v>52</v>
      </c>
    </row>
    <row r="10" spans="1:179" x14ac:dyDescent="0.25">
      <c r="K10" s="39" t="s">
        <v>46</v>
      </c>
    </row>
    <row r="11" spans="1:179" x14ac:dyDescent="0.25">
      <c r="B11" s="6">
        <f t="shared" ref="B11:J11" si="0">C11-1</f>
        <v>2001</v>
      </c>
      <c r="C11" s="6">
        <f t="shared" si="0"/>
        <v>2002</v>
      </c>
      <c r="D11" s="6">
        <f t="shared" si="0"/>
        <v>2003</v>
      </c>
      <c r="E11" s="6">
        <f t="shared" si="0"/>
        <v>2004</v>
      </c>
      <c r="F11" s="6">
        <f t="shared" si="0"/>
        <v>2005</v>
      </c>
      <c r="G11" s="6">
        <f t="shared" si="0"/>
        <v>2006</v>
      </c>
      <c r="H11" s="6">
        <f t="shared" si="0"/>
        <v>2007</v>
      </c>
      <c r="I11" s="6">
        <f t="shared" si="0"/>
        <v>2008</v>
      </c>
      <c r="J11" s="6">
        <f t="shared" si="0"/>
        <v>2009</v>
      </c>
      <c r="K11" s="6">
        <v>2010</v>
      </c>
      <c r="L11" s="6">
        <v>2011</v>
      </c>
      <c r="M11" s="6">
        <f>L11+1</f>
        <v>2012</v>
      </c>
      <c r="N11" s="6">
        <f t="shared" ref="N11:AV11" si="1">M11+1</f>
        <v>2013</v>
      </c>
      <c r="O11" s="6">
        <f t="shared" si="1"/>
        <v>2014</v>
      </c>
      <c r="P11" s="6">
        <f t="shared" si="1"/>
        <v>2015</v>
      </c>
      <c r="Q11" s="6">
        <f t="shared" si="1"/>
        <v>2016</v>
      </c>
      <c r="R11" s="6">
        <f t="shared" si="1"/>
        <v>2017</v>
      </c>
      <c r="S11" s="6">
        <f t="shared" si="1"/>
        <v>2018</v>
      </c>
      <c r="T11" s="6">
        <f t="shared" si="1"/>
        <v>2019</v>
      </c>
      <c r="U11" s="6">
        <f t="shared" si="1"/>
        <v>2020</v>
      </c>
      <c r="V11" s="6">
        <f t="shared" si="1"/>
        <v>2021</v>
      </c>
      <c r="W11" s="6">
        <f t="shared" si="1"/>
        <v>2022</v>
      </c>
      <c r="X11" s="6">
        <f t="shared" si="1"/>
        <v>2023</v>
      </c>
      <c r="Y11" s="6">
        <f t="shared" si="1"/>
        <v>2024</v>
      </c>
      <c r="Z11" s="6">
        <f t="shared" si="1"/>
        <v>2025</v>
      </c>
      <c r="AA11" s="6">
        <f t="shared" si="1"/>
        <v>2026</v>
      </c>
      <c r="AB11" s="6">
        <f t="shared" si="1"/>
        <v>2027</v>
      </c>
      <c r="AC11" s="6">
        <f t="shared" si="1"/>
        <v>2028</v>
      </c>
      <c r="AD11" s="6">
        <f t="shared" si="1"/>
        <v>2029</v>
      </c>
      <c r="AE11" s="6">
        <f t="shared" si="1"/>
        <v>2030</v>
      </c>
      <c r="AF11" s="6">
        <f t="shared" si="1"/>
        <v>2031</v>
      </c>
      <c r="AG11" s="6">
        <f t="shared" si="1"/>
        <v>2032</v>
      </c>
      <c r="AH11" s="6">
        <f t="shared" si="1"/>
        <v>2033</v>
      </c>
      <c r="AI11" s="6">
        <f t="shared" si="1"/>
        <v>2034</v>
      </c>
      <c r="AJ11" s="6">
        <f t="shared" si="1"/>
        <v>2035</v>
      </c>
      <c r="AK11" s="6">
        <f t="shared" si="1"/>
        <v>2036</v>
      </c>
      <c r="AL11" s="6">
        <f t="shared" si="1"/>
        <v>2037</v>
      </c>
      <c r="AM11" s="6">
        <f t="shared" si="1"/>
        <v>2038</v>
      </c>
      <c r="AN11" s="6">
        <f t="shared" si="1"/>
        <v>2039</v>
      </c>
      <c r="AO11" s="6">
        <f t="shared" si="1"/>
        <v>2040</v>
      </c>
      <c r="AP11" s="6">
        <f t="shared" si="1"/>
        <v>2041</v>
      </c>
      <c r="AQ11" s="6">
        <f t="shared" si="1"/>
        <v>2042</v>
      </c>
      <c r="AR11" s="6">
        <f t="shared" si="1"/>
        <v>2043</v>
      </c>
      <c r="AS11" s="6">
        <f t="shared" si="1"/>
        <v>2044</v>
      </c>
      <c r="AT11" s="6">
        <f t="shared" si="1"/>
        <v>2045</v>
      </c>
      <c r="AU11" s="6">
        <f t="shared" si="1"/>
        <v>2046</v>
      </c>
      <c r="AV11" s="6">
        <f t="shared" si="1"/>
        <v>2047</v>
      </c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</row>
    <row r="12" spans="1:179" x14ac:dyDescent="0.25">
      <c r="A12" t="s">
        <v>50</v>
      </c>
      <c r="B12" s="6">
        <f t="shared" ref="B12" si="2">C12-1</f>
        <v>60</v>
      </c>
      <c r="C12" s="6">
        <f t="shared" ref="C12:I12" si="3">D12-1</f>
        <v>61</v>
      </c>
      <c r="D12" s="6">
        <f t="shared" si="3"/>
        <v>62</v>
      </c>
      <c r="E12" s="6">
        <f t="shared" si="3"/>
        <v>63</v>
      </c>
      <c r="F12" s="6">
        <f t="shared" si="3"/>
        <v>64</v>
      </c>
      <c r="G12" s="6">
        <f t="shared" si="3"/>
        <v>65</v>
      </c>
      <c r="H12" s="6">
        <f t="shared" si="3"/>
        <v>66</v>
      </c>
      <c r="I12" s="6">
        <f t="shared" si="3"/>
        <v>67</v>
      </c>
      <c r="J12" s="6">
        <f>K12-1</f>
        <v>68</v>
      </c>
      <c r="K12" s="6">
        <f>L12-1</f>
        <v>69</v>
      </c>
      <c r="L12" s="6">
        <v>70</v>
      </c>
      <c r="M12" s="6">
        <f>L12+1</f>
        <v>71</v>
      </c>
      <c r="N12" s="6">
        <f t="shared" ref="N12:AN12" si="4">M12+1</f>
        <v>72</v>
      </c>
      <c r="O12" s="6">
        <f t="shared" si="4"/>
        <v>73</v>
      </c>
      <c r="P12" s="6">
        <f t="shared" si="4"/>
        <v>74</v>
      </c>
      <c r="Q12" s="6">
        <f t="shared" si="4"/>
        <v>75</v>
      </c>
      <c r="R12" s="6">
        <f t="shared" si="4"/>
        <v>76</v>
      </c>
      <c r="S12" s="6">
        <f t="shared" si="4"/>
        <v>77</v>
      </c>
      <c r="T12" s="6">
        <f t="shared" si="4"/>
        <v>78</v>
      </c>
      <c r="U12" s="6">
        <f t="shared" si="4"/>
        <v>79</v>
      </c>
      <c r="V12" s="6">
        <f t="shared" si="4"/>
        <v>80</v>
      </c>
      <c r="W12" s="6">
        <f t="shared" si="4"/>
        <v>81</v>
      </c>
      <c r="X12" s="6">
        <f t="shared" si="4"/>
        <v>82</v>
      </c>
      <c r="Y12" s="6">
        <f t="shared" si="4"/>
        <v>83</v>
      </c>
      <c r="Z12" s="6">
        <f t="shared" si="4"/>
        <v>84</v>
      </c>
      <c r="AA12" s="6">
        <f t="shared" si="4"/>
        <v>85</v>
      </c>
      <c r="AB12" s="6">
        <f t="shared" si="4"/>
        <v>86</v>
      </c>
      <c r="AC12" s="6">
        <f t="shared" si="4"/>
        <v>87</v>
      </c>
      <c r="AD12" s="6">
        <f t="shared" si="4"/>
        <v>88</v>
      </c>
      <c r="AE12" s="6">
        <f t="shared" si="4"/>
        <v>89</v>
      </c>
      <c r="AF12" s="6">
        <f t="shared" si="4"/>
        <v>90</v>
      </c>
      <c r="AG12" s="6">
        <f t="shared" si="4"/>
        <v>91</v>
      </c>
      <c r="AH12" s="6">
        <f t="shared" si="4"/>
        <v>92</v>
      </c>
      <c r="AI12" s="6">
        <f t="shared" si="4"/>
        <v>93</v>
      </c>
      <c r="AJ12" s="6">
        <f t="shared" si="4"/>
        <v>94</v>
      </c>
      <c r="AK12" s="6">
        <f t="shared" si="4"/>
        <v>95</v>
      </c>
      <c r="AL12" s="6">
        <f t="shared" si="4"/>
        <v>96</v>
      </c>
      <c r="AM12" s="6">
        <f t="shared" si="4"/>
        <v>97</v>
      </c>
      <c r="AN12" s="6">
        <f t="shared" si="4"/>
        <v>98</v>
      </c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</row>
    <row r="13" spans="1:179" x14ac:dyDescent="0.25">
      <c r="A13" t="s">
        <v>45</v>
      </c>
      <c r="B13" s="8">
        <v>0</v>
      </c>
      <c r="C13" s="8"/>
      <c r="D13" s="8">
        <f>CumulativeValue!N18</f>
        <v>13493.51325</v>
      </c>
      <c r="E13" s="8">
        <f>CumulativeValue!N19</f>
        <v>27472.792976999997</v>
      </c>
      <c r="F13" s="8">
        <f>CumulativeValue!N20</f>
        <v>42033.737579667744</v>
      </c>
      <c r="G13" s="8">
        <f>CumulativeValue!N21</f>
        <v>57393.199312404031</v>
      </c>
      <c r="H13" s="8">
        <f>CumulativeValue!N22</f>
        <v>73469.108508209712</v>
      </c>
      <c r="I13" s="8">
        <f>CumulativeValue!N23</f>
        <v>90136.10159969324</v>
      </c>
      <c r="J13" s="8">
        <f>CumulativeValue!N24</f>
        <v>107955.86706245293</v>
      </c>
      <c r="K13" s="8">
        <f>CumulativeValue!N25</f>
        <v>126042.92900715402</v>
      </c>
      <c r="L13" s="10">
        <f>K13+(CumulativeValue!$C$25*12*(1+CumulativeValue!$A$10))</f>
        <v>146721.68844131561</v>
      </c>
      <c r="M13" s="10">
        <f>L13+(CumulativeValue!$C$25*12*(1+CumulativeValue!$A$10))</f>
        <v>167400.4478754772</v>
      </c>
      <c r="N13" s="10">
        <f>M13+(CumulativeValue!$C$25*12*(1+CumulativeValue!$A$10))</f>
        <v>188079.20730963879</v>
      </c>
      <c r="O13" s="10">
        <f>N13+(CumulativeValue!$C$25*12*(1+CumulativeValue!$A$10))</f>
        <v>208757.96674380038</v>
      </c>
      <c r="P13" s="10">
        <f>O13+(CumulativeValue!$C$25*12*(1+CumulativeValue!$A$10))</f>
        <v>229436.72617796197</v>
      </c>
      <c r="Q13" s="10">
        <f>P13+(CumulativeValue!$C$25*12*(1+CumulativeValue!$A$10))</f>
        <v>250115.48561212356</v>
      </c>
      <c r="R13" s="10">
        <f>Q13+(CumulativeValue!$C$25*12*(1+CumulativeValue!$A$10))</f>
        <v>270794.24504628516</v>
      </c>
      <c r="S13" s="10">
        <f>R13+(CumulativeValue!$C$25*12*(1+CumulativeValue!$A$10))</f>
        <v>291473.00448044675</v>
      </c>
      <c r="T13" s="10">
        <f>S13+(CumulativeValue!$C$25*12*(1+CumulativeValue!$A$10))</f>
        <v>312151.76391460834</v>
      </c>
      <c r="U13" s="10">
        <f>T13+(CumulativeValue!$C$25*12*(1+CumulativeValue!$A$10))</f>
        <v>332830.52334876993</v>
      </c>
      <c r="V13" s="10">
        <f>U13+(CumulativeValue!$C$25*12*(1+CumulativeValue!$A$10))</f>
        <v>353509.28278293152</v>
      </c>
      <c r="W13" s="10">
        <f>V13+(CumulativeValue!$C$25*12*(1+CumulativeValue!$A$10))</f>
        <v>374188.04221709311</v>
      </c>
      <c r="X13" s="10">
        <f>W13+(CumulativeValue!$C$25*12*(1+CumulativeValue!$A$10))</f>
        <v>394866.8016512547</v>
      </c>
      <c r="Y13" s="10">
        <f>X13+(CumulativeValue!$C$25*12*(1+CumulativeValue!$A$10))</f>
        <v>415545.5610854163</v>
      </c>
      <c r="Z13" s="10">
        <f>Y13+(CumulativeValue!$C$25*12*(1+CumulativeValue!$A$10))</f>
        <v>436224.32051957789</v>
      </c>
      <c r="AA13" s="10">
        <f>Z13+(CumulativeValue!$C$25*12*(1+CumulativeValue!$A$10))</f>
        <v>456903.07995373948</v>
      </c>
      <c r="AB13" s="10">
        <f>AA13+(CumulativeValue!$C$25*12*(1+CumulativeValue!$A$10))</f>
        <v>477581.83938790107</v>
      </c>
      <c r="AC13" s="10">
        <f>AB13+(CumulativeValue!$C$25*12*(1+CumulativeValue!$A$10))</f>
        <v>498260.59882206266</v>
      </c>
      <c r="AD13" s="10">
        <f>AC13+(CumulativeValue!$C$25*12*(1+CumulativeValue!$A$10))</f>
        <v>518939.35825622425</v>
      </c>
      <c r="AE13" s="10">
        <f>AD13+(CumulativeValue!$C$25*12*(1+CumulativeValue!$A$10))</f>
        <v>539618.1176903859</v>
      </c>
      <c r="AF13" s="10">
        <f>AE13+(CumulativeValue!$C$25*12*(1+CumulativeValue!$A$10))</f>
        <v>560296.87712454749</v>
      </c>
      <c r="AG13" s="10">
        <f>AF13+(CumulativeValue!$C$25*12*(1+CumulativeValue!$A$10))</f>
        <v>580975.63655870908</v>
      </c>
      <c r="AH13" s="10">
        <f>AG13+(CumulativeValue!$C$25*12*(1+CumulativeValue!$A$10))</f>
        <v>601654.39599287068</v>
      </c>
      <c r="AI13" s="10">
        <f>AH13+(CumulativeValue!$C$25*12*(1+CumulativeValue!$A$10))</f>
        <v>622333.15542703227</v>
      </c>
      <c r="AJ13" s="10">
        <f>AI13+(CumulativeValue!$C$25*12*(1+CumulativeValue!$A$10))</f>
        <v>643011.91486119386</v>
      </c>
      <c r="AK13" s="10">
        <f>AJ13+(CumulativeValue!$C$25*12*(1+CumulativeValue!$A$10))</f>
        <v>663690.67429535545</v>
      </c>
      <c r="AL13" s="10">
        <f>AK13+(CumulativeValue!$C$25*12*(1+CumulativeValue!$A$10))</f>
        <v>684369.43372951704</v>
      </c>
      <c r="AM13" s="10">
        <f>AL13+(CumulativeValue!$C$25*12*(1+CumulativeValue!$A$10))</f>
        <v>705048.19316367863</v>
      </c>
      <c r="AN13" s="10">
        <f>AM13+(CumulativeValue!$C$25*12*(1+CumulativeValue!$A$10))</f>
        <v>725726.95259784022</v>
      </c>
    </row>
    <row r="14" spans="1:179" x14ac:dyDescent="0.25">
      <c r="A14" t="s">
        <v>44</v>
      </c>
      <c r="K14" s="8">
        <v>0</v>
      </c>
      <c r="L14" s="10">
        <f>K14+(CumulativeValue!$H$25*12*(1+CumulativeValue!$A$10))</f>
        <v>35732.896302231238</v>
      </c>
      <c r="M14" s="10">
        <f>L14+(CumulativeValue!$H$25*12*(1+CumulativeValue!$A$10))</f>
        <v>71465.792604462476</v>
      </c>
      <c r="N14" s="10">
        <f>M14+(CumulativeValue!$H$25*12*(1+CumulativeValue!$A$10))</f>
        <v>107198.68890669371</v>
      </c>
      <c r="O14" s="10">
        <f>N14+(CumulativeValue!$H$25*12*(1+CumulativeValue!$A$10))</f>
        <v>142931.58520892495</v>
      </c>
      <c r="P14" s="10">
        <f>O14+(CumulativeValue!$H$25*12*(1+CumulativeValue!$A$10))</f>
        <v>178664.48151115619</v>
      </c>
      <c r="Q14" s="10">
        <f>P14+(CumulativeValue!$H$25*12*(1+CumulativeValue!$A$10))</f>
        <v>214397.37781338743</v>
      </c>
      <c r="R14" s="10">
        <f>Q14+(CumulativeValue!$H$25*12*(1+CumulativeValue!$A$10))</f>
        <v>250130.27411561867</v>
      </c>
      <c r="S14" s="10">
        <f>R14+(CumulativeValue!$H$25*12*(1+CumulativeValue!$A$10))</f>
        <v>285863.17041784991</v>
      </c>
      <c r="T14" s="10">
        <f>S14+(CumulativeValue!$H$25*12*(1+CumulativeValue!$A$10))</f>
        <v>321596.06672008114</v>
      </c>
      <c r="U14" s="10">
        <f>T14+(CumulativeValue!$H$25*12*(1+CumulativeValue!$A$10))</f>
        <v>357328.96302231238</v>
      </c>
      <c r="V14" s="10">
        <f>U14+(CumulativeValue!$H$25*12*(1+CumulativeValue!$A$10))</f>
        <v>393061.85932454362</v>
      </c>
      <c r="W14" s="10">
        <f>V14+(CumulativeValue!$H$25*12*(1+CumulativeValue!$A$10))</f>
        <v>428794.75562677486</v>
      </c>
      <c r="X14" s="10">
        <f>W14+(CumulativeValue!$H$25*12*(1+CumulativeValue!$A$10))</f>
        <v>464527.6519290061</v>
      </c>
      <c r="Y14" s="10">
        <f>X14+(CumulativeValue!$H$25*12*(1+CumulativeValue!$A$10))</f>
        <v>500260.54823123734</v>
      </c>
      <c r="Z14" s="10">
        <f>Y14+(CumulativeValue!$H$25*12*(1+CumulativeValue!$A$10))</f>
        <v>535993.44453346857</v>
      </c>
      <c r="AA14" s="10">
        <f>Z14+(CumulativeValue!$H$25*12*(1+CumulativeValue!$A$10))</f>
        <v>571726.34083569981</v>
      </c>
      <c r="AB14" s="10">
        <f>AA14+(CumulativeValue!$H$25*12*(1+CumulativeValue!$A$10))</f>
        <v>607459.23713793105</v>
      </c>
      <c r="AC14" s="10">
        <f>AB14+(CumulativeValue!$H$25*12*(1+CumulativeValue!$A$10))</f>
        <v>643192.13344016229</v>
      </c>
      <c r="AD14" s="10">
        <f>AC14+(CumulativeValue!$H$25*12*(1+CumulativeValue!$A$10))</f>
        <v>678925.02974239353</v>
      </c>
      <c r="AE14" s="10">
        <f>AD14+(CumulativeValue!$H$25*12*(1+CumulativeValue!$A$10))</f>
        <v>714657.92604462476</v>
      </c>
      <c r="AF14" s="10">
        <f>AE14+(CumulativeValue!$H$25*12*(1+CumulativeValue!$A$10))</f>
        <v>750390.822346856</v>
      </c>
      <c r="AG14" s="10">
        <f>AF14+(CumulativeValue!$H$25*12*(1+CumulativeValue!$A$10))</f>
        <v>786123.71864908724</v>
      </c>
      <c r="AH14" s="10">
        <f>AG14+(CumulativeValue!$H$25*12*(1+CumulativeValue!$A$10))</f>
        <v>821856.61495131848</v>
      </c>
      <c r="AI14" s="10">
        <f>AH14+(CumulativeValue!$H$25*12*(1+CumulativeValue!$A$10))</f>
        <v>857589.51125354972</v>
      </c>
      <c r="AJ14" s="10">
        <f>AI14+(CumulativeValue!$H$25*12*(1+CumulativeValue!$A$10))</f>
        <v>893322.40755578096</v>
      </c>
      <c r="AK14" s="10">
        <f>AJ14+(CumulativeValue!$H$25*12*(1+CumulativeValue!$A$10))</f>
        <v>929055.30385801219</v>
      </c>
      <c r="AL14" s="10">
        <f>AK14+(CumulativeValue!$H$25*12*(1+CumulativeValue!$A$10))</f>
        <v>964788.20016024343</v>
      </c>
      <c r="AM14" s="10">
        <f>AL14+(CumulativeValue!$H$25*12*(1+CumulativeValue!$A$10))</f>
        <v>1000521.0964624747</v>
      </c>
      <c r="AN14" s="10">
        <f>AM14+(CumulativeValue!$H$25*12*(1+CumulativeValue!$A$10))</f>
        <v>1036253.9927647059</v>
      </c>
    </row>
    <row r="15" spans="1:179" x14ac:dyDescent="0.25">
      <c r="A15" t="s">
        <v>43</v>
      </c>
      <c r="B15" s="8">
        <v>0</v>
      </c>
      <c r="C15" s="8"/>
      <c r="D15" s="8">
        <f>CumulativeValue!N18</f>
        <v>13493.51325</v>
      </c>
      <c r="E15" s="8">
        <f>CumulativeValue!N19</f>
        <v>27472.792976999997</v>
      </c>
      <c r="F15" s="8">
        <f>CumulativeValue!N20</f>
        <v>42033.737579667744</v>
      </c>
      <c r="G15" s="8">
        <f>CumulativeValue!N21</f>
        <v>57393.199312404031</v>
      </c>
      <c r="H15" s="8">
        <f>CumulativeValue!N22</f>
        <v>73469.108508209712</v>
      </c>
      <c r="I15" s="8">
        <f>CumulativeValue!N23</f>
        <v>90136.10159969324</v>
      </c>
      <c r="J15" s="8">
        <f>CumulativeValue!N24</f>
        <v>107955.86706245293</v>
      </c>
      <c r="K15" s="8">
        <f>CumulativeValue!D30</f>
        <v>126042.92900715399</v>
      </c>
      <c r="L15" s="10">
        <f>K15+(CumulativeValue!$H$25*12*(1+CumulativeValue!$A$10))-CumulativeValue!$A$9</f>
        <v>-16666.113522708736</v>
      </c>
      <c r="M15" s="10">
        <f>L15+(CumulativeValue!$H$25*12*(1+CumulativeValue!$A$10))</f>
        <v>19066.782779522502</v>
      </c>
      <c r="N15" s="10">
        <f>M15+(CumulativeValue!$H$25*12*(1+CumulativeValue!$A$10))</f>
        <v>54799.67908175374</v>
      </c>
      <c r="O15" s="10">
        <f>N15+(CumulativeValue!$H$25*12*(1+CumulativeValue!$A$10))</f>
        <v>90532.575383984979</v>
      </c>
      <c r="P15" s="10">
        <f>O15+(CumulativeValue!$H$25*12*(1+CumulativeValue!$A$10))</f>
        <v>126265.47168621622</v>
      </c>
      <c r="Q15" s="10">
        <f>P15+(CumulativeValue!$H$25*12*(1+CumulativeValue!$A$10))</f>
        <v>161998.36798844745</v>
      </c>
      <c r="R15" s="10">
        <f>Q15+(CumulativeValue!$H$25*12*(1+CumulativeValue!$A$10))</f>
        <v>197731.26429067869</v>
      </c>
      <c r="S15" s="10">
        <f>R15+(CumulativeValue!$H$25*12*(1+CumulativeValue!$A$10))</f>
        <v>233464.16059290993</v>
      </c>
      <c r="T15" s="10">
        <f>S15+(CumulativeValue!$H$25*12*(1+CumulativeValue!$A$10))</f>
        <v>269197.05689514114</v>
      </c>
      <c r="U15" s="10">
        <f>T15+(CumulativeValue!$H$25*12*(1+CumulativeValue!$A$10))</f>
        <v>304929.95319737238</v>
      </c>
      <c r="V15" s="10">
        <f>U15+(CumulativeValue!$H$25*12*(1+CumulativeValue!$A$10))</f>
        <v>340662.84949960362</v>
      </c>
      <c r="W15" s="10">
        <f>V15+(CumulativeValue!$H$25*12*(1+CumulativeValue!$A$10))</f>
        <v>376395.74580183486</v>
      </c>
      <c r="X15" s="10">
        <f>W15+(CumulativeValue!$H$25*12*(1+CumulativeValue!$A$10))</f>
        <v>412128.64210406609</v>
      </c>
      <c r="Y15" s="10">
        <f>X15+(CumulativeValue!$H$25*12*(1+CumulativeValue!$A$10))</f>
        <v>447861.53840629733</v>
      </c>
      <c r="Z15" s="10">
        <f>Y15+(CumulativeValue!$H$25*12*(1+CumulativeValue!$A$10))</f>
        <v>483594.43470852857</v>
      </c>
      <c r="AA15" s="10">
        <f>Z15+(CumulativeValue!$H$25*12*(1+CumulativeValue!$A$10))</f>
        <v>519327.33101075981</v>
      </c>
      <c r="AB15" s="10">
        <f>AA15+(CumulativeValue!$H$25*12*(1+CumulativeValue!$A$10))</f>
        <v>555060.22731299105</v>
      </c>
      <c r="AC15" s="10">
        <f>AB15+(CumulativeValue!$H$25*12*(1+CumulativeValue!$A$10))</f>
        <v>590793.12361522228</v>
      </c>
      <c r="AD15" s="10">
        <f>AC15+(CumulativeValue!$H$25*12*(1+CumulativeValue!$A$10))</f>
        <v>626526.01991745352</v>
      </c>
      <c r="AE15" s="10">
        <f>AD15+(CumulativeValue!$H$25*12*(1+CumulativeValue!$A$10))</f>
        <v>662258.91621968476</v>
      </c>
      <c r="AF15" s="10">
        <f>AE15+(CumulativeValue!$H$25*12*(1+CumulativeValue!$A$10))</f>
        <v>697991.812521916</v>
      </c>
      <c r="AG15" s="10">
        <f>AF15+(CumulativeValue!$H$25*12*(1+CumulativeValue!$A$10))</f>
        <v>733724.70882414724</v>
      </c>
      <c r="AH15" s="10">
        <f>AG15+(CumulativeValue!$H$25*12*(1+CumulativeValue!$A$10))</f>
        <v>769457.60512637848</v>
      </c>
      <c r="AI15" s="10">
        <f>AH15+(CumulativeValue!$H$25*12*(1+CumulativeValue!$A$10))</f>
        <v>805190.50142860971</v>
      </c>
      <c r="AJ15" s="10">
        <f>AI15+(CumulativeValue!$H$25*12*(1+CumulativeValue!$A$10))</f>
        <v>840923.39773084095</v>
      </c>
      <c r="AK15" s="10">
        <f>AJ15+(CumulativeValue!$H$25*12*(1+CumulativeValue!$A$10))</f>
        <v>876656.29403307219</v>
      </c>
      <c r="AL15" s="10">
        <f>AK15+(CumulativeValue!$H$25*12*(1+CumulativeValue!$A$10))</f>
        <v>912389.19033530343</v>
      </c>
      <c r="AM15" s="10">
        <f>AL15+(CumulativeValue!$H$25*12*(1+CumulativeValue!$A$10))</f>
        <v>948122.08663753467</v>
      </c>
      <c r="AN15" s="10">
        <f>AM15+(CumulativeValue!$H$25*12*(1+CumulativeValue!$A$10))</f>
        <v>983854.98293976591</v>
      </c>
    </row>
  </sheetData>
  <phoneticPr fontId="0" type="noConversion"/>
  <hyperlinks>
    <hyperlink ref="A5" r:id="rId1"/>
  </hyperlinks>
  <pageMargins left="0.75" right="0.75" top="1" bottom="1" header="0.5" footer="0.5"/>
  <pageSetup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CumulativeValue</vt:lpstr>
      <vt:lpstr>BreakevenAnalysis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intercst</dc:creator>
  <cp:lastModifiedBy>John</cp:lastModifiedBy>
  <dcterms:created xsi:type="dcterms:W3CDTF">2007-06-26T00:41:49Z</dcterms:created>
  <dcterms:modified xsi:type="dcterms:W3CDTF">2011-02-25T21:13:17Z</dcterms:modified>
</cp:coreProperties>
</file>